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17" sheetId="4" r:id="rId4"/>
  </sheets>
  <definedNames/>
  <calcPr fullCalcOnLoad="1"/>
</workbook>
</file>

<file path=xl/sharedStrings.xml><?xml version="1.0" encoding="utf-8"?>
<sst xmlns="http://schemas.openxmlformats.org/spreadsheetml/2006/main" count="615" uniqueCount="184">
  <si>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</si>
  <si>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</si>
  <si>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</si>
  <si>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</si>
  <si>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</si>
  <si>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</si>
  <si>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</si>
  <si>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</si>
  <si>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</si>
  <si>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</si>
  <si>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</si>
  <si>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</si>
  <si>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</si>
  <si>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</si>
  <si>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</si>
  <si>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</si>
  <si>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</si>
  <si>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</si>
  <si>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</si>
  <si>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</si>
  <si>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</si>
  <si>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</si>
  <si>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</si>
  <si>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</si>
  <si>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</si>
  <si>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</si>
  <si>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</si>
  <si>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</si>
  <si>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</si>
  <si>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</si>
  <si>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</si>
  <si>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</si>
  <si>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</si>
  <si>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</si>
  <si>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</si>
  <si>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</si>
  <si>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</si>
  <si>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</si>
  <si>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</si>
  <si>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</si>
  <si>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</si>
  <si>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</si>
  <si>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</si>
  <si>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</si>
  <si>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</si>
  <si>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</si>
  <si>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</si>
  <si>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</si>
  <si>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</si>
  <si>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</si>
  <si>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</si>
  <si>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</si>
  <si>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</si>
  <si>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</si>
  <si>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</si>
  <si>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</si>
  <si>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</si>
  <si>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</si>
  <si>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</si>
  <si>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</si>
  <si>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</si>
  <si>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</si>
  <si>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</si>
  <si>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</si>
  <si>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</si>
  <si>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</si>
  <si>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</si>
  <si>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</si>
  <si>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</si>
  <si>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</si>
  <si>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</si>
  <si>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</si>
  <si>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</si>
  <si>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</si>
  <si>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</si>
  <si>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</si>
  <si>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</si>
  <si>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</si>
  <si>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</si>
  <si>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</si>
  <si>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</si>
  <si>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</si>
  <si>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</si>
  <si>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</si>
  <si>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</si>
  <si>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</si>
  <si>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</si>
  <si>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</si>
  <si>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</si>
  <si>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</si>
  <si>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</si>
  <si>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</si>
  <si>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</si>
  <si>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</si>
  <si>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</si>
  <si>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</si>
  <si>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</si>
  <si>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</si>
  <si>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</si>
  <si>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</si>
  <si>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</si>
  <si>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</si>
  <si>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</si>
  <si>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</si>
  <si>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</si>
  <si>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</si>
  <si>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</si>
  <si>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</si>
  <si>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</si>
  <si>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</si>
  <si>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</si>
  <si>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</si>
  <si>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</si>
  <si>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</si>
  <si>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</si>
  <si>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</si>
  <si>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</si>
  <si>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</si>
  <si>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</si>
  <si>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</si>
  <si>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</si>
  <si>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</si>
  <si>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</si>
  <si>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</si>
  <si>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</si>
  <si>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</si>
  <si>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</si>
  <si>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</si>
  <si>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</si>
  <si>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</si>
  <si>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</si>
  <si>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</si>
  <si>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</si>
  <si>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</si>
  <si>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</si>
  <si>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</si>
  <si>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</si>
  <si>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</si>
  <si>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</si>
  <si>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</si>
  <si>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</si>
  <si>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</si>
  <si>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</si>
  <si>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</si>
  <si>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</si>
  <si>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</si>
  <si>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</si>
  <si>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</si>
  <si>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</si>
  <si>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</si>
  <si>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</si>
  <si>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</si>
  <si>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</si>
  <si>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</si>
  <si>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</si>
  <si>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</si>
  <si>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</si>
  <si>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</si>
  <si>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</si>
  <si>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</si>
  <si>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</si>
  <si>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>(алкоголь+тютюн)</t>
    </r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</si>
  <si>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</si>
  <si>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</si>
  <si>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</si>
  <si>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</si>
  <si>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</si>
  <si>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</si>
  <si>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</si>
  <si>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</si>
  <si>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</si>
  <si>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</si>
  <si>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</si>
  <si>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</si>
  <si>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</si>
  <si>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</si>
  <si>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</si>
  <si>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</si>
  <si>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</si>
  <si>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</si>
  <si>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</si>
  <si>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</si>
  <si>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05.04.2017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</si>
  <si>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04.04.17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</si>
</sst>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6" fillId="38" borderId="10" xfId="55" applyFont="1" applyFill="1" applyBorder="1" applyAlignment="1" applyProtection="1">
      <alignment wrapText="1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0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24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28" sqref="E12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8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301" t="s">
        <v>182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85"/>
      <c r="S1" s="86"/>
      <c r="T1" s="244"/>
      <c r="U1" s="247"/>
      <c r="V1" s="257"/>
      <c r="W1" s="257"/>
    </row>
    <row r="2" spans="2:23" s="1" customFormat="1" ht="15.75" customHeight="1">
      <c r="B2" s="302"/>
      <c r="C2" s="302"/>
      <c r="D2" s="302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4"/>
      <c r="U2" s="247"/>
      <c r="V2" s="257"/>
      <c r="W2" s="257"/>
    </row>
    <row r="3" spans="1:23" s="3" customFormat="1" ht="13.5" customHeight="1">
      <c r="A3" s="303"/>
      <c r="B3" s="305"/>
      <c r="C3" s="306" t="s">
        <v>0</v>
      </c>
      <c r="D3" s="307" t="s">
        <v>138</v>
      </c>
      <c r="E3" s="31"/>
      <c r="F3" s="308" t="s">
        <v>26</v>
      </c>
      <c r="G3" s="309"/>
      <c r="H3" s="309"/>
      <c r="I3" s="309"/>
      <c r="J3" s="310"/>
      <c r="K3" s="82"/>
      <c r="L3" s="82"/>
      <c r="M3" s="82"/>
      <c r="N3" s="311" t="s">
        <v>180</v>
      </c>
      <c r="O3" s="312" t="s">
        <v>179</v>
      </c>
      <c r="P3" s="312"/>
      <c r="Q3" s="312"/>
      <c r="R3" s="312"/>
      <c r="S3" s="312"/>
      <c r="T3" s="112" t="s">
        <v>163</v>
      </c>
      <c r="U3" s="112" t="s">
        <v>163</v>
      </c>
      <c r="V3" s="258" t="s">
        <v>163</v>
      </c>
      <c r="W3" s="258" t="s">
        <v>163</v>
      </c>
    </row>
    <row r="4" spans="1:22" ht="22.5" customHeight="1">
      <c r="A4" s="303"/>
      <c r="B4" s="305"/>
      <c r="C4" s="306"/>
      <c r="D4" s="307"/>
      <c r="E4" s="313" t="s">
        <v>176</v>
      </c>
      <c r="F4" s="295" t="s">
        <v>33</v>
      </c>
      <c r="G4" s="288" t="s">
        <v>177</v>
      </c>
      <c r="H4" s="297" t="s">
        <v>178</v>
      </c>
      <c r="I4" s="288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299" t="s">
        <v>183</v>
      </c>
      <c r="P4" s="288" t="s">
        <v>49</v>
      </c>
      <c r="Q4" s="290" t="s">
        <v>48</v>
      </c>
      <c r="R4" s="90" t="s">
        <v>64</v>
      </c>
      <c r="S4" s="91" t="s">
        <v>63</v>
      </c>
      <c r="T4" s="28" t="s">
        <v>162</v>
      </c>
      <c r="U4" s="248" t="s">
        <v>162</v>
      </c>
      <c r="V4" s="77" t="s">
        <v>164</v>
      </c>
    </row>
    <row r="5" spans="1:23" ht="67.5" customHeight="1">
      <c r="A5" s="304"/>
      <c r="B5" s="305"/>
      <c r="C5" s="306"/>
      <c r="D5" s="307"/>
      <c r="E5" s="314"/>
      <c r="F5" s="296"/>
      <c r="G5" s="289"/>
      <c r="H5" s="298"/>
      <c r="I5" s="289"/>
      <c r="J5" s="298"/>
      <c r="K5" s="291" t="s">
        <v>181</v>
      </c>
      <c r="L5" s="292"/>
      <c r="M5" s="293"/>
      <c r="N5" s="298"/>
      <c r="O5" s="300"/>
      <c r="P5" s="289"/>
      <c r="Q5" s="290"/>
      <c r="R5" s="291" t="s">
        <v>102</v>
      </c>
      <c r="S5" s="293"/>
      <c r="T5" s="28" t="s">
        <v>155</v>
      </c>
      <c r="U5" s="248" t="s">
        <v>156</v>
      </c>
      <c r="V5" s="77" t="s">
        <v>155</v>
      </c>
      <c r="W5" s="259" t="s">
        <v>156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397977.5</v>
      </c>
      <c r="F8" s="149">
        <f>F9+F15+F18+F19+F23+F40</f>
        <v>298304.82999999996</v>
      </c>
      <c r="G8" s="149">
        <f aca="true" t="shared" si="0" ref="G8:G40">F8-E8</f>
        <v>-99672.67000000004</v>
      </c>
      <c r="H8" s="150">
        <f>F8/E8*100</f>
        <v>74.95519972862786</v>
      </c>
      <c r="I8" s="151">
        <f>F8-D8</f>
        <v>-1000146.2700000001</v>
      </c>
      <c r="J8" s="151">
        <f>F8/D8*100</f>
        <v>22.973897900352192</v>
      </c>
      <c r="K8" s="149">
        <v>294130.62</v>
      </c>
      <c r="L8" s="149">
        <f aca="true" t="shared" si="1" ref="L8:L54">F8-K8</f>
        <v>4174.209999999963</v>
      </c>
      <c r="M8" s="203">
        <f aca="true" t="shared" si="2" ref="M8:M31">F8/K8</f>
        <v>1.0141916880330242</v>
      </c>
      <c r="N8" s="149">
        <f>N9+N15+N18+N19+N23+N17</f>
        <v>105438</v>
      </c>
      <c r="O8" s="149">
        <f>O9+O15+O18+O19+O23+O17</f>
        <v>4759.010000000006</v>
      </c>
      <c r="P8" s="149">
        <f>O8-N8</f>
        <v>-100678.98999999999</v>
      </c>
      <c r="Q8" s="149">
        <f>O8/N8*100</f>
        <v>4.513562472732796</v>
      </c>
      <c r="R8" s="15" t="e">
        <f>#N/A</f>
        <v>#N/A</v>
      </c>
      <c r="S8" s="15" t="e">
        <f>#N/A</f>
        <v>#N/A</v>
      </c>
      <c r="T8" s="145"/>
      <c r="U8" s="245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164779.9</v>
      </c>
      <c r="G9" s="148">
        <f t="shared" si="0"/>
        <v>-56080.100000000006</v>
      </c>
      <c r="H9" s="155">
        <f>F9/E9*100</f>
        <v>74.60830390292492</v>
      </c>
      <c r="I9" s="156">
        <f>F9-D9</f>
        <v>-601865.1</v>
      </c>
      <c r="J9" s="156">
        <f>F9/D9*100</f>
        <v>21.493637863678757</v>
      </c>
      <c r="K9" s="225">
        <v>158037.8</v>
      </c>
      <c r="L9" s="157">
        <f t="shared" si="1"/>
        <v>6742.100000000006</v>
      </c>
      <c r="M9" s="204">
        <f t="shared" si="2"/>
        <v>1.042661312673297</v>
      </c>
      <c r="N9" s="155">
        <f>E9-березень!E9</f>
        <v>59000</v>
      </c>
      <c r="O9" s="158">
        <f>F9-березень!F9</f>
        <v>2592.540000000008</v>
      </c>
      <c r="P9" s="159">
        <f>O9-N9</f>
        <v>-56407.45999999999</v>
      </c>
      <c r="Q9" s="156">
        <f>O9/N9*100</f>
        <v>4.394135593220353</v>
      </c>
      <c r="R9" s="99"/>
      <c r="S9" s="100"/>
      <c r="T9" s="145">
        <v>58776</v>
      </c>
      <c r="U9" s="245">
        <f>O9-T9</f>
        <v>-56183.45999999999</v>
      </c>
      <c r="V9" s="131">
        <v>160661.9</v>
      </c>
      <c r="W9" s="263">
        <f>F9-V9</f>
        <v>4118</v>
      </c>
    </row>
    <row r="10" spans="1:23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150731.29</v>
      </c>
      <c r="G10" s="102">
        <f t="shared" si="0"/>
        <v>-49404.70999999999</v>
      </c>
      <c r="H10" s="29">
        <f aca="true" t="shared" si="3" ref="H10:H39">F10/E10*100</f>
        <v>75.31443118679299</v>
      </c>
      <c r="I10" s="103">
        <f aca="true" t="shared" si="4" ref="I10:I40">F10-D10</f>
        <v>-550585.71</v>
      </c>
      <c r="J10" s="103">
        <f aca="true" t="shared" si="5" ref="J10:J39">F10/D10*100</f>
        <v>21.49260462814961</v>
      </c>
      <c r="K10" s="105">
        <v>137815.99</v>
      </c>
      <c r="L10" s="105">
        <f t="shared" si="1"/>
        <v>12915.300000000017</v>
      </c>
      <c r="M10" s="205">
        <f t="shared" si="2"/>
        <v>1.0937140893447852</v>
      </c>
      <c r="N10" s="104">
        <f>E10-березень!E10</f>
        <v>53624</v>
      </c>
      <c r="O10" s="142">
        <f>F10-березень!F10</f>
        <v>2415.920000000013</v>
      </c>
      <c r="P10" s="105">
        <f aca="true" t="shared" si="6" ref="P10:P40">O10-N10</f>
        <v>-51208.07999999999</v>
      </c>
      <c r="Q10" s="103">
        <f aca="true" t="shared" si="7" ref="Q10:Q27">O10/N10*100</f>
        <v>4.505296136058505</v>
      </c>
      <c r="R10" s="36"/>
      <c r="S10" s="93"/>
      <c r="T10" s="145"/>
      <c r="U10" s="245">
        <f aca="true" t="shared" si="8" ref="U10:U42">O10-T10</f>
        <v>2415.920000000013</v>
      </c>
      <c r="V10" s="131"/>
      <c r="W10" s="262"/>
    </row>
    <row r="11" spans="1:23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9105.64</v>
      </c>
      <c r="G11" s="102">
        <f t="shared" si="0"/>
        <v>-5594.360000000001</v>
      </c>
      <c r="H11" s="29">
        <f t="shared" si="3"/>
        <v>61.94312925170068</v>
      </c>
      <c r="I11" s="103">
        <f t="shared" si="4"/>
        <v>-37400.36</v>
      </c>
      <c r="J11" s="103">
        <f t="shared" si="5"/>
        <v>19.57949511890939</v>
      </c>
      <c r="K11" s="105">
        <v>11487.54</v>
      </c>
      <c r="L11" s="105">
        <f t="shared" si="1"/>
        <v>-2381.9000000000015</v>
      </c>
      <c r="M11" s="205">
        <f t="shared" si="2"/>
        <v>0.7926536055587183</v>
      </c>
      <c r="N11" s="104">
        <f>E11-березень!E11</f>
        <v>3900</v>
      </c>
      <c r="O11" s="142">
        <f>F11-березень!F11</f>
        <v>1.1599999999998545</v>
      </c>
      <c r="P11" s="105">
        <f t="shared" si="6"/>
        <v>-3898.84</v>
      </c>
      <c r="Q11" s="103">
        <f t="shared" si="7"/>
        <v>0.029743589743586013</v>
      </c>
      <c r="R11" s="36"/>
      <c r="S11" s="93"/>
      <c r="T11" s="145"/>
      <c r="U11" s="245">
        <f t="shared" si="8"/>
        <v>1.1599999999998545</v>
      </c>
      <c r="V11" s="131"/>
      <c r="W11" s="262"/>
    </row>
    <row r="12" spans="1:23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1844.43</v>
      </c>
      <c r="G12" s="102">
        <f t="shared" si="0"/>
        <v>-495.56999999999994</v>
      </c>
      <c r="H12" s="29">
        <f t="shared" si="3"/>
        <v>78.82179487179486</v>
      </c>
      <c r="I12" s="103">
        <f t="shared" si="4"/>
        <v>-6435.57</v>
      </c>
      <c r="J12" s="103">
        <f t="shared" si="5"/>
        <v>22.27572463768116</v>
      </c>
      <c r="K12" s="105">
        <v>4096.43</v>
      </c>
      <c r="L12" s="105">
        <f t="shared" si="1"/>
        <v>-2252</v>
      </c>
      <c r="M12" s="205">
        <f t="shared" si="2"/>
        <v>0.4502530251951089</v>
      </c>
      <c r="N12" s="104">
        <f>E12-березень!E12</f>
        <v>600</v>
      </c>
      <c r="O12" s="142">
        <f>F12-березень!F12</f>
        <v>79.74000000000001</v>
      </c>
      <c r="P12" s="105">
        <f t="shared" si="6"/>
        <v>-520.26</v>
      </c>
      <c r="Q12" s="103">
        <f t="shared" si="7"/>
        <v>13.290000000000003</v>
      </c>
      <c r="R12" s="36"/>
      <c r="S12" s="93"/>
      <c r="T12" s="145"/>
      <c r="U12" s="245">
        <f t="shared" si="8"/>
        <v>79.74000000000001</v>
      </c>
      <c r="V12" s="131"/>
      <c r="W12" s="262"/>
    </row>
    <row r="13" spans="1:23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2702.12</v>
      </c>
      <c r="G13" s="102">
        <f t="shared" si="0"/>
        <v>-597.8800000000001</v>
      </c>
      <c r="H13" s="29">
        <f t="shared" si="3"/>
        <v>81.88242424242424</v>
      </c>
      <c r="I13" s="103">
        <f t="shared" si="4"/>
        <v>-6687.88</v>
      </c>
      <c r="J13" s="103">
        <f t="shared" si="5"/>
        <v>28.7765708200213</v>
      </c>
      <c r="K13" s="105">
        <v>3211.48</v>
      </c>
      <c r="L13" s="105">
        <f t="shared" si="1"/>
        <v>-509.3600000000001</v>
      </c>
      <c r="M13" s="205">
        <f t="shared" si="2"/>
        <v>0.8413939990284852</v>
      </c>
      <c r="N13" s="104">
        <f>E13-березень!E13</f>
        <v>780</v>
      </c>
      <c r="O13" s="142">
        <f>F13-березень!F13</f>
        <v>72.96000000000004</v>
      </c>
      <c r="P13" s="105">
        <f t="shared" si="6"/>
        <v>-707.04</v>
      </c>
      <c r="Q13" s="103">
        <f t="shared" si="7"/>
        <v>9.353846153846158</v>
      </c>
      <c r="R13" s="36"/>
      <c r="S13" s="93"/>
      <c r="T13" s="145"/>
      <c r="U13" s="245">
        <f t="shared" si="8"/>
        <v>72.96000000000004</v>
      </c>
      <c r="V13" s="131"/>
      <c r="W13" s="262"/>
    </row>
    <row r="14" spans="1:23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396.42</v>
      </c>
      <c r="G14" s="102">
        <f t="shared" si="0"/>
        <v>12.420000000000016</v>
      </c>
      <c r="H14" s="29">
        <f t="shared" si="3"/>
        <v>103.23437500000001</v>
      </c>
      <c r="I14" s="103">
        <f t="shared" si="4"/>
        <v>-755.5799999999999</v>
      </c>
      <c r="J14" s="103">
        <f t="shared" si="5"/>
        <v>34.411458333333336</v>
      </c>
      <c r="K14" s="105">
        <v>1426.36</v>
      </c>
      <c r="L14" s="105">
        <f t="shared" si="1"/>
        <v>-1029.9399999999998</v>
      </c>
      <c r="M14" s="205">
        <f t="shared" si="2"/>
        <v>0.27792422670293615</v>
      </c>
      <c r="N14" s="104">
        <f>E14-березень!E14</f>
        <v>96</v>
      </c>
      <c r="O14" s="142">
        <f>F14-березень!F14</f>
        <v>22.75</v>
      </c>
      <c r="P14" s="105">
        <f t="shared" si="6"/>
        <v>-73.25</v>
      </c>
      <c r="Q14" s="103">
        <f t="shared" si="7"/>
        <v>23.697916666666664</v>
      </c>
      <c r="R14" s="36"/>
      <c r="S14" s="93"/>
      <c r="T14" s="245"/>
      <c r="U14" s="245">
        <f t="shared" si="8"/>
        <v>22.75</v>
      </c>
      <c r="V14" s="131"/>
      <c r="W14" s="262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>F15/D15*100</f>
        <v>-66.50090744101634</v>
      </c>
      <c r="K15" s="159">
        <v>185.84</v>
      </c>
      <c r="L15" s="159">
        <f t="shared" si="1"/>
        <v>-552.26</v>
      </c>
      <c r="M15" s="206">
        <f t="shared" si="2"/>
        <v>-1.9716960826517436</v>
      </c>
      <c r="N15" s="162">
        <f>E15-березень!E15</f>
        <v>0</v>
      </c>
      <c r="O15" s="166">
        <f>F15-березень!F15</f>
        <v>0</v>
      </c>
      <c r="P15" s="159">
        <f t="shared" si="6"/>
        <v>0</v>
      </c>
      <c r="Q15" s="156" t="e">
        <f t="shared" si="7"/>
        <v>#DIV/0!</v>
      </c>
      <c r="R15" s="36"/>
      <c r="S15" s="93"/>
      <c r="T15" s="145">
        <v>-377.2</v>
      </c>
      <c r="U15" s="245">
        <f t="shared" si="8"/>
        <v>377.2</v>
      </c>
      <c r="V15" s="131"/>
      <c r="W15" s="262"/>
    </row>
    <row r="16" spans="1:23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5">
        <f t="shared" si="8"/>
        <v>0</v>
      </c>
      <c r="V16" s="131"/>
      <c r="W16" s="262"/>
    </row>
    <row r="17" spans="1:23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5">
        <f t="shared" si="8"/>
        <v>0</v>
      </c>
      <c r="V17" s="131"/>
      <c r="W17" s="262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/>
      <c r="S18" s="93"/>
      <c r="T18" s="145"/>
      <c r="U18" s="245"/>
      <c r="V18" s="131"/>
      <c r="W18" s="262"/>
    </row>
    <row r="19" spans="1:23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37900</v>
      </c>
      <c r="F19" s="154">
        <v>28180.16</v>
      </c>
      <c r="G19" s="160">
        <f t="shared" si="0"/>
        <v>-9719.84</v>
      </c>
      <c r="H19" s="162">
        <f t="shared" si="3"/>
        <v>74.35398416886544</v>
      </c>
      <c r="I19" s="163">
        <f t="shared" si="4"/>
        <v>-101819.84</v>
      </c>
      <c r="J19" s="163">
        <f t="shared" si="5"/>
        <v>21.677046153846156</v>
      </c>
      <c r="K19" s="159">
        <v>26018.63</v>
      </c>
      <c r="L19" s="165">
        <f t="shared" si="1"/>
        <v>2161.529999999999</v>
      </c>
      <c r="M19" s="211">
        <f t="shared" si="2"/>
        <v>1.0830762419082018</v>
      </c>
      <c r="N19" s="162">
        <f>E19-березень!E19</f>
        <v>10100</v>
      </c>
      <c r="O19" s="166">
        <f>F19-березень!F19</f>
        <v>546.2999999999993</v>
      </c>
      <c r="P19" s="165">
        <f t="shared" si="6"/>
        <v>-9553.7</v>
      </c>
      <c r="Q19" s="163">
        <f t="shared" si="7"/>
        <v>5.408910891089102</v>
      </c>
      <c r="R19" s="36"/>
      <c r="S19" s="93"/>
      <c r="T19" s="145"/>
      <c r="U19" s="245"/>
      <c r="V19" s="131"/>
      <c r="W19" s="262"/>
    </row>
    <row r="20" spans="1:23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37900</v>
      </c>
      <c r="F20" s="199">
        <v>17742.69</v>
      </c>
      <c r="G20" s="251">
        <f t="shared" si="0"/>
        <v>-20157.31</v>
      </c>
      <c r="H20" s="193">
        <f t="shared" si="3"/>
        <v>46.81448548812664</v>
      </c>
      <c r="I20" s="252">
        <f t="shared" si="4"/>
        <v>-112257.31</v>
      </c>
      <c r="J20" s="252">
        <f t="shared" si="5"/>
        <v>13.648223076923077</v>
      </c>
      <c r="K20" s="253">
        <v>26018.6</v>
      </c>
      <c r="L20" s="164">
        <f t="shared" si="1"/>
        <v>-8275.91</v>
      </c>
      <c r="M20" s="254">
        <f t="shared" si="2"/>
        <v>0.6819233163967315</v>
      </c>
      <c r="N20" s="193">
        <f>E20-березень!E20</f>
        <v>10100</v>
      </c>
      <c r="O20" s="177">
        <f>F20-березень!F20</f>
        <v>8.62999999999738</v>
      </c>
      <c r="P20" s="164">
        <f t="shared" si="6"/>
        <v>-10091.370000000003</v>
      </c>
      <c r="Q20" s="252">
        <f t="shared" si="7"/>
        <v>0.08544554455442951</v>
      </c>
      <c r="R20" s="106"/>
      <c r="S20" s="107"/>
      <c r="T20" s="255">
        <v>4250</v>
      </c>
      <c r="U20" s="256">
        <f t="shared" si="8"/>
        <v>-4241.370000000003</v>
      </c>
      <c r="V20" s="260">
        <v>17955.9</v>
      </c>
      <c r="W20" s="263">
        <f>F20-V20</f>
        <v>-213.21000000000276</v>
      </c>
    </row>
    <row r="21" spans="1:23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2236.99</v>
      </c>
      <c r="G21" s="251">
        <f t="shared" si="0"/>
        <v>2236.99</v>
      </c>
      <c r="H21" s="193"/>
      <c r="I21" s="252">
        <f t="shared" si="4"/>
        <v>2236.99</v>
      </c>
      <c r="J21" s="252"/>
      <c r="K21" s="253">
        <v>0</v>
      </c>
      <c r="L21" s="164">
        <f t="shared" si="1"/>
        <v>2236.99</v>
      </c>
      <c r="M21" s="254"/>
      <c r="N21" s="193">
        <f>E21-березень!E21</f>
        <v>0</v>
      </c>
      <c r="O21" s="177">
        <f>F21-березень!F21</f>
        <v>0.1999999999998181</v>
      </c>
      <c r="P21" s="164"/>
      <c r="Q21" s="252"/>
      <c r="R21" s="106"/>
      <c r="S21" s="107"/>
      <c r="T21" s="255"/>
      <c r="U21" s="256"/>
      <c r="V21" s="260"/>
      <c r="W21" s="262"/>
    </row>
    <row r="22" spans="1:23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8200.48</v>
      </c>
      <c r="G22" s="251">
        <f t="shared" si="0"/>
        <v>8200.48</v>
      </c>
      <c r="H22" s="193"/>
      <c r="I22" s="252">
        <f t="shared" si="4"/>
        <v>8200.48</v>
      </c>
      <c r="J22" s="252"/>
      <c r="K22" s="253">
        <v>0</v>
      </c>
      <c r="L22" s="164">
        <f t="shared" si="1"/>
        <v>8200.48</v>
      </c>
      <c r="M22" s="254"/>
      <c r="N22" s="193">
        <f>E22-березень!E22</f>
        <v>0</v>
      </c>
      <c r="O22" s="177">
        <f>F22-березень!F22</f>
        <v>537.4699999999993</v>
      </c>
      <c r="P22" s="164"/>
      <c r="Q22" s="252"/>
      <c r="R22" s="106"/>
      <c r="S22" s="107"/>
      <c r="T22" s="255"/>
      <c r="U22" s="256"/>
      <c r="V22" s="260"/>
      <c r="W22" s="262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105592.73</v>
      </c>
      <c r="G23" s="148">
        <f t="shared" si="0"/>
        <v>-33383.770000000004</v>
      </c>
      <c r="H23" s="155">
        <f t="shared" si="3"/>
        <v>75.97883814889568</v>
      </c>
      <c r="I23" s="156">
        <f t="shared" si="4"/>
        <v>-295537.37</v>
      </c>
      <c r="J23" s="156">
        <f t="shared" si="5"/>
        <v>26.323811152541282</v>
      </c>
      <c r="K23" s="156">
        <v>109782.5</v>
      </c>
      <c r="L23" s="159">
        <f t="shared" si="1"/>
        <v>-4189.770000000004</v>
      </c>
      <c r="M23" s="207">
        <f t="shared" si="2"/>
        <v>0.9618357206294263</v>
      </c>
      <c r="N23" s="155">
        <f>E23-березень!E23</f>
        <v>36338</v>
      </c>
      <c r="O23" s="158">
        <f>F23-березень!F23</f>
        <v>1620.1699999999983</v>
      </c>
      <c r="P23" s="159">
        <f t="shared" si="6"/>
        <v>-34717.83</v>
      </c>
      <c r="Q23" s="156">
        <f t="shared" si="7"/>
        <v>4.458610820628539</v>
      </c>
      <c r="R23" s="106"/>
      <c r="S23" s="107"/>
      <c r="T23" s="145"/>
      <c r="U23" s="245"/>
      <c r="V23" s="131"/>
      <c r="W23" s="262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168">
        <f>F25+F28+F29</f>
        <v>48929.82</v>
      </c>
      <c r="G24" s="148">
        <f t="shared" si="0"/>
        <v>-18413.980000000003</v>
      </c>
      <c r="H24" s="155">
        <f t="shared" si="3"/>
        <v>72.65675533605172</v>
      </c>
      <c r="I24" s="156">
        <f t="shared" si="4"/>
        <v>-157691.18</v>
      </c>
      <c r="J24" s="156">
        <f t="shared" si="5"/>
        <v>23.680952081347005</v>
      </c>
      <c r="K24" s="156">
        <v>58036.24</v>
      </c>
      <c r="L24" s="159">
        <f t="shared" si="1"/>
        <v>-9106.419999999998</v>
      </c>
      <c r="M24" s="207">
        <f t="shared" si="2"/>
        <v>0.8430907998174934</v>
      </c>
      <c r="N24" s="155">
        <f>E24-березень!E24</f>
        <v>19503</v>
      </c>
      <c r="O24" s="158">
        <f>F24-березень!F24</f>
        <v>366.4599999999991</v>
      </c>
      <c r="P24" s="159">
        <f t="shared" si="6"/>
        <v>-19136.54</v>
      </c>
      <c r="Q24" s="156">
        <f t="shared" si="7"/>
        <v>1.8789929754396715</v>
      </c>
      <c r="R24" s="106"/>
      <c r="S24" s="107"/>
      <c r="T24" s="145"/>
      <c r="U24" s="245"/>
      <c r="V24" s="131"/>
      <c r="W24" s="262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5313.05</v>
      </c>
      <c r="G25" s="169">
        <f t="shared" si="0"/>
        <v>-4016.95</v>
      </c>
      <c r="H25" s="171">
        <f t="shared" si="3"/>
        <v>56.94587352625938</v>
      </c>
      <c r="I25" s="172">
        <f t="shared" si="4"/>
        <v>-17495.95</v>
      </c>
      <c r="J25" s="172">
        <f t="shared" si="5"/>
        <v>23.293656012977333</v>
      </c>
      <c r="K25" s="173">
        <v>8413.21</v>
      </c>
      <c r="L25" s="164">
        <f t="shared" si="1"/>
        <v>-3100.159999999999</v>
      </c>
      <c r="M25" s="213">
        <f t="shared" si="2"/>
        <v>0.6315128232862368</v>
      </c>
      <c r="N25" s="193">
        <f>E25-березень!E25</f>
        <v>4380</v>
      </c>
      <c r="O25" s="177">
        <f>F25-березень!F25</f>
        <v>99.11000000000058</v>
      </c>
      <c r="P25" s="175">
        <f t="shared" si="6"/>
        <v>-4280.889999999999</v>
      </c>
      <c r="Q25" s="172">
        <f t="shared" si="7"/>
        <v>2.2627853881278672</v>
      </c>
      <c r="R25" s="106"/>
      <c r="S25" s="107"/>
      <c r="T25" s="145">
        <v>374</v>
      </c>
      <c r="U25" s="245">
        <f t="shared" si="8"/>
        <v>-274.8899999999994</v>
      </c>
      <c r="V25" s="131"/>
      <c r="W25" s="262"/>
    </row>
    <row r="26" spans="1:23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157.94</v>
      </c>
      <c r="G26" s="196">
        <f t="shared" si="0"/>
        <v>-392.06</v>
      </c>
      <c r="H26" s="197">
        <f t="shared" si="3"/>
        <v>28.716363636363635</v>
      </c>
      <c r="I26" s="198">
        <f t="shared" si="4"/>
        <v>-1664.36</v>
      </c>
      <c r="J26" s="198">
        <f t="shared" si="5"/>
        <v>8.667069088514515</v>
      </c>
      <c r="K26" s="198">
        <v>252.55</v>
      </c>
      <c r="L26" s="198">
        <f t="shared" si="1"/>
        <v>-94.61000000000001</v>
      </c>
      <c r="M26" s="226">
        <f t="shared" si="2"/>
        <v>0.6253811126509602</v>
      </c>
      <c r="N26" s="234">
        <f>E26-березень!E26</f>
        <v>300</v>
      </c>
      <c r="O26" s="234">
        <f>F26-березень!F26</f>
        <v>0.8700000000000045</v>
      </c>
      <c r="P26" s="198">
        <f t="shared" si="6"/>
        <v>-299.13</v>
      </c>
      <c r="Q26" s="198">
        <f t="shared" si="7"/>
        <v>0.2900000000000015</v>
      </c>
      <c r="R26" s="106"/>
      <c r="S26" s="107"/>
      <c r="T26" s="145"/>
      <c r="U26" s="245">
        <f t="shared" si="8"/>
        <v>0.8700000000000045</v>
      </c>
      <c r="V26" s="131"/>
      <c r="W26" s="262"/>
    </row>
    <row r="27" spans="1:23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5155.11</v>
      </c>
      <c r="G27" s="196">
        <f t="shared" si="0"/>
        <v>-3624.8900000000003</v>
      </c>
      <c r="H27" s="197">
        <f t="shared" si="3"/>
        <v>58.71423690205011</v>
      </c>
      <c r="I27" s="198">
        <f t="shared" si="4"/>
        <v>-15831.59</v>
      </c>
      <c r="J27" s="198">
        <f t="shared" si="5"/>
        <v>24.56369986705866</v>
      </c>
      <c r="K27" s="198">
        <v>8160.66</v>
      </c>
      <c r="L27" s="198">
        <f t="shared" si="1"/>
        <v>-3005.55</v>
      </c>
      <c r="M27" s="226">
        <f t="shared" si="2"/>
        <v>0.6317025828793259</v>
      </c>
      <c r="N27" s="234">
        <f>E27-березень!E27</f>
        <v>4080</v>
      </c>
      <c r="O27" s="234">
        <f>F27-березень!F27</f>
        <v>98.23999999999978</v>
      </c>
      <c r="P27" s="198">
        <f t="shared" si="6"/>
        <v>-3981.76</v>
      </c>
      <c r="Q27" s="198">
        <f t="shared" si="7"/>
        <v>2.4078431372548965</v>
      </c>
      <c r="R27" s="106"/>
      <c r="S27" s="107"/>
      <c r="T27" s="145"/>
      <c r="U27" s="245">
        <f t="shared" si="8"/>
        <v>98.23999999999978</v>
      </c>
      <c r="V27" s="131"/>
      <c r="W27" s="262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37.5</v>
      </c>
      <c r="G28" s="169">
        <f t="shared" si="0"/>
        <v>-86.3</v>
      </c>
      <c r="H28" s="171">
        <f t="shared" si="3"/>
        <v>30.290791599353796</v>
      </c>
      <c r="I28" s="172">
        <f t="shared" si="4"/>
        <v>-782.5</v>
      </c>
      <c r="J28" s="172">
        <f t="shared" si="5"/>
        <v>4.573170731707317</v>
      </c>
      <c r="K28" s="172">
        <v>386.58</v>
      </c>
      <c r="L28" s="172">
        <f t="shared" si="1"/>
        <v>-349.08</v>
      </c>
      <c r="M28" s="210">
        <f t="shared" si="2"/>
        <v>0.09700450100884682</v>
      </c>
      <c r="N28" s="193">
        <f>E28-березень!E28</f>
        <v>68</v>
      </c>
      <c r="O28" s="177">
        <f>F28-березень!F28</f>
        <v>6.25</v>
      </c>
      <c r="P28" s="175">
        <f t="shared" si="6"/>
        <v>-61.75</v>
      </c>
      <c r="Q28" s="172">
        <f>O28/N28*100</f>
        <v>9.191176470588236</v>
      </c>
      <c r="R28" s="106"/>
      <c r="S28" s="107"/>
      <c r="T28" s="145">
        <v>0</v>
      </c>
      <c r="U28" s="245">
        <f t="shared" si="8"/>
        <v>6.25</v>
      </c>
      <c r="V28" s="131"/>
      <c r="W28" s="262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43579.27</v>
      </c>
      <c r="G29" s="169">
        <f t="shared" si="0"/>
        <v>-14310.730000000003</v>
      </c>
      <c r="H29" s="171">
        <f t="shared" si="3"/>
        <v>75.27944377267231</v>
      </c>
      <c r="I29" s="172">
        <f t="shared" si="4"/>
        <v>-139412.73</v>
      </c>
      <c r="J29" s="172">
        <f t="shared" si="5"/>
        <v>23.81484982950074</v>
      </c>
      <c r="K29" s="173">
        <v>49236.46</v>
      </c>
      <c r="L29" s="173">
        <f t="shared" si="1"/>
        <v>-5657.190000000002</v>
      </c>
      <c r="M29" s="209">
        <f t="shared" si="2"/>
        <v>0.8851016096608082</v>
      </c>
      <c r="N29" s="193">
        <f>E29-березень!E29</f>
        <v>15055</v>
      </c>
      <c r="O29" s="177">
        <f>F29-березень!F29</f>
        <v>261.09999999999854</v>
      </c>
      <c r="P29" s="175">
        <f t="shared" si="6"/>
        <v>-14793.900000000001</v>
      </c>
      <c r="Q29" s="172">
        <f>O29/N29*100</f>
        <v>1.7343075390235705</v>
      </c>
      <c r="R29" s="106"/>
      <c r="S29" s="107"/>
      <c r="T29" s="145">
        <v>15224</v>
      </c>
      <c r="U29" s="245">
        <f t="shared" si="8"/>
        <v>-14962.900000000001</v>
      </c>
      <c r="V29" s="131">
        <v>42191.7</v>
      </c>
      <c r="W29" s="263">
        <f>F29-V29</f>
        <v>1387.5699999999997</v>
      </c>
    </row>
    <row r="30" spans="1:23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14447.04</v>
      </c>
      <c r="G30" s="196">
        <f t="shared" si="0"/>
        <v>-2982.959999999999</v>
      </c>
      <c r="H30" s="197">
        <f t="shared" si="3"/>
        <v>82.88605851979347</v>
      </c>
      <c r="I30" s="198">
        <f t="shared" si="4"/>
        <v>-43085.96</v>
      </c>
      <c r="J30" s="198">
        <f t="shared" si="5"/>
        <v>25.11087549754054</v>
      </c>
      <c r="K30" s="198">
        <v>15205.9</v>
      </c>
      <c r="L30" s="198">
        <f t="shared" si="1"/>
        <v>-758.8599999999988</v>
      </c>
      <c r="M30" s="226">
        <f t="shared" si="2"/>
        <v>0.9500943712637858</v>
      </c>
      <c r="N30" s="234">
        <f>E30-березень!E30</f>
        <v>4600</v>
      </c>
      <c r="O30" s="234">
        <f>F30-березень!F30</f>
        <v>11.600000000000364</v>
      </c>
      <c r="P30" s="198">
        <f t="shared" si="6"/>
        <v>-4588.4</v>
      </c>
      <c r="Q30" s="198">
        <f>O30/N30*100</f>
        <v>0.25217391304348613</v>
      </c>
      <c r="R30" s="106"/>
      <c r="S30" s="107"/>
      <c r="T30" s="145"/>
      <c r="U30" s="245">
        <f t="shared" si="8"/>
        <v>11.600000000000364</v>
      </c>
      <c r="V30" s="131"/>
      <c r="W30" s="262"/>
    </row>
    <row r="31" spans="1:23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29132.23</v>
      </c>
      <c r="G31" s="196">
        <f t="shared" si="0"/>
        <v>-11327.77</v>
      </c>
      <c r="H31" s="197">
        <f t="shared" si="3"/>
        <v>72.00254572417202</v>
      </c>
      <c r="I31" s="198">
        <f t="shared" si="4"/>
        <v>-96326.77</v>
      </c>
      <c r="J31" s="198">
        <f t="shared" si="5"/>
        <v>23.22051825696044</v>
      </c>
      <c r="K31" s="198">
        <v>34030.56</v>
      </c>
      <c r="L31" s="198">
        <f t="shared" si="1"/>
        <v>-4898.329999999998</v>
      </c>
      <c r="M31" s="226">
        <f t="shared" si="2"/>
        <v>0.8560608464862172</v>
      </c>
      <c r="N31" s="234">
        <f>E31-березень!E31</f>
        <v>10455</v>
      </c>
      <c r="O31" s="234">
        <f>F31-березень!F31</f>
        <v>249.5</v>
      </c>
      <c r="P31" s="198">
        <f t="shared" si="6"/>
        <v>-10205.5</v>
      </c>
      <c r="Q31" s="198">
        <f>O31/N31*100</f>
        <v>2.3864179818268774</v>
      </c>
      <c r="R31" s="106"/>
      <c r="S31" s="107"/>
      <c r="T31" s="145"/>
      <c r="U31" s="245">
        <f t="shared" si="8"/>
        <v>249.5</v>
      </c>
      <c r="V31" s="131"/>
      <c r="W31" s="262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107"/>
      <c r="T32" s="145"/>
      <c r="U32" s="245"/>
      <c r="V32" s="131"/>
      <c r="W32" s="262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37.2</v>
      </c>
      <c r="G33" s="148">
        <f t="shared" si="0"/>
        <v>10.200000000000003</v>
      </c>
      <c r="H33" s="155">
        <f t="shared" si="3"/>
        <v>137.7777777777778</v>
      </c>
      <c r="I33" s="156">
        <f t="shared" si="4"/>
        <v>-77.8</v>
      </c>
      <c r="J33" s="156">
        <f t="shared" si="5"/>
        <v>32.34782608695652</v>
      </c>
      <c r="K33" s="156">
        <v>32.71</v>
      </c>
      <c r="L33" s="156">
        <f t="shared" si="1"/>
        <v>4.490000000000002</v>
      </c>
      <c r="M33" s="208">
        <f>F33/K33</f>
        <v>1.1372668908590646</v>
      </c>
      <c r="N33" s="155">
        <f>E33-березень!E33</f>
        <v>8</v>
      </c>
      <c r="O33" s="158">
        <f>F33-березень!F33</f>
        <v>0</v>
      </c>
      <c r="P33" s="159">
        <f t="shared" si="6"/>
        <v>-8</v>
      </c>
      <c r="Q33" s="156">
        <f>O33/N33*100</f>
        <v>0</v>
      </c>
      <c r="R33" s="106"/>
      <c r="S33" s="107"/>
      <c r="T33" s="145">
        <v>4.5</v>
      </c>
      <c r="U33" s="245"/>
      <c r="V33" s="131"/>
      <c r="W33" s="262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-24.29</v>
      </c>
      <c r="G34" s="148">
        <f t="shared" si="0"/>
        <v>-24.29</v>
      </c>
      <c r="H34" s="155"/>
      <c r="I34" s="156">
        <f t="shared" si="4"/>
        <v>-24.29</v>
      </c>
      <c r="J34" s="156"/>
      <c r="K34" s="156">
        <v>-107.01</v>
      </c>
      <c r="L34" s="156">
        <f t="shared" si="1"/>
        <v>82.72</v>
      </c>
      <c r="M34" s="208">
        <f>F34/K34</f>
        <v>0.226988131950285</v>
      </c>
      <c r="N34" s="155">
        <f>E34-березень!E34</f>
        <v>0</v>
      </c>
      <c r="O34" s="158">
        <f>F34-березень!F34</f>
        <v>0.5300000000000011</v>
      </c>
      <c r="P34" s="159">
        <f t="shared" si="6"/>
        <v>0.5300000000000011</v>
      </c>
      <c r="Q34" s="156" t="e">
        <f>O34/N34*100</f>
        <v>#DIV/0!</v>
      </c>
      <c r="R34" s="106"/>
      <c r="S34" s="107"/>
      <c r="T34" s="145"/>
      <c r="U34" s="245"/>
      <c r="V34" s="131"/>
      <c r="W34" s="262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56649.8</v>
      </c>
      <c r="G35" s="160">
        <f t="shared" si="0"/>
        <v>-14955.899999999994</v>
      </c>
      <c r="H35" s="162">
        <f t="shared" si="3"/>
        <v>79.11353425774765</v>
      </c>
      <c r="I35" s="163">
        <f t="shared" si="4"/>
        <v>-137744.3</v>
      </c>
      <c r="J35" s="163">
        <f t="shared" si="5"/>
        <v>29.141728066849765</v>
      </c>
      <c r="K35" s="176">
        <v>51820.56</v>
      </c>
      <c r="L35" s="176">
        <f>F35-K35</f>
        <v>4829.240000000005</v>
      </c>
      <c r="M35" s="224">
        <f>F35/K35</f>
        <v>1.0931915826459615</v>
      </c>
      <c r="N35" s="155">
        <f>E35-березень!E35</f>
        <v>16827</v>
      </c>
      <c r="O35" s="158">
        <f>F35-березень!F35</f>
        <v>1253.1800000000003</v>
      </c>
      <c r="P35" s="165">
        <f t="shared" si="6"/>
        <v>-15573.82</v>
      </c>
      <c r="Q35" s="163">
        <f>O35/N35*100</f>
        <v>7.4474356688655154</v>
      </c>
      <c r="R35" s="106"/>
      <c r="S35" s="107"/>
      <c r="T35" s="145">
        <v>6650</v>
      </c>
      <c r="U35" s="245">
        <f t="shared" si="8"/>
        <v>-5396.82</v>
      </c>
      <c r="V35" s="131"/>
      <c r="W35" s="262"/>
    </row>
    <row r="36" spans="1:23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7"/>
      <c r="T36" s="145"/>
      <c r="U36" s="245">
        <f t="shared" si="8"/>
        <v>0</v>
      </c>
      <c r="V36" s="131"/>
      <c r="W36" s="262"/>
    </row>
    <row r="37" spans="1:23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11034.39</v>
      </c>
      <c r="G37" s="102">
        <f t="shared" si="0"/>
        <v>-2185.6100000000006</v>
      </c>
      <c r="H37" s="104">
        <f t="shared" si="3"/>
        <v>83.46739788199697</v>
      </c>
      <c r="I37" s="103">
        <f t="shared" si="4"/>
        <v>-29965.61</v>
      </c>
      <c r="J37" s="103">
        <f t="shared" si="5"/>
        <v>26.913146341463413</v>
      </c>
      <c r="K37" s="126">
        <v>12484.76</v>
      </c>
      <c r="L37" s="126">
        <f t="shared" si="1"/>
        <v>-1450.3700000000008</v>
      </c>
      <c r="M37" s="214">
        <f t="shared" si="9"/>
        <v>0.8838287640291043</v>
      </c>
      <c r="N37" s="104">
        <f>E37-березень!E37</f>
        <v>2820</v>
      </c>
      <c r="O37" s="142">
        <f>F37-березень!F37</f>
        <v>86.46999999999935</v>
      </c>
      <c r="P37" s="105">
        <f t="shared" si="6"/>
        <v>-2733.5300000000007</v>
      </c>
      <c r="Q37" s="103">
        <f>O37/N37*100</f>
        <v>3.0663120567375657</v>
      </c>
      <c r="R37" s="106"/>
      <c r="S37" s="107"/>
      <c r="T37" s="145"/>
      <c r="U37" s="245">
        <f t="shared" si="8"/>
        <v>86.46999999999935</v>
      </c>
      <c r="V37" s="131"/>
      <c r="W37" s="262"/>
    </row>
    <row r="38" spans="1:23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45599.3</v>
      </c>
      <c r="G38" s="102">
        <f t="shared" si="0"/>
        <v>-12760.699999999997</v>
      </c>
      <c r="H38" s="104">
        <f t="shared" si="3"/>
        <v>78.13450993831393</v>
      </c>
      <c r="I38" s="103">
        <f t="shared" si="4"/>
        <v>-107739.8</v>
      </c>
      <c r="J38" s="103">
        <f t="shared" si="5"/>
        <v>29.737555522368396</v>
      </c>
      <c r="K38" s="126">
        <v>39321.61</v>
      </c>
      <c r="L38" s="126">
        <f t="shared" si="1"/>
        <v>6277.690000000002</v>
      </c>
      <c r="M38" s="214">
        <f t="shared" si="9"/>
        <v>1.1596498719152142</v>
      </c>
      <c r="N38" s="104">
        <f>E38-березень!E38</f>
        <v>14000</v>
      </c>
      <c r="O38" s="142">
        <f>F38-березень!F38</f>
        <v>1166.7200000000012</v>
      </c>
      <c r="P38" s="105">
        <f t="shared" si="6"/>
        <v>-12833.279999999999</v>
      </c>
      <c r="Q38" s="103">
        <f>O38/N38*100</f>
        <v>8.333714285714294</v>
      </c>
      <c r="R38" s="106"/>
      <c r="S38" s="107"/>
      <c r="T38" s="145"/>
      <c r="U38" s="245">
        <f t="shared" si="8"/>
        <v>1166.7200000000012</v>
      </c>
      <c r="V38" s="131"/>
      <c r="W38" s="262"/>
    </row>
    <row r="39" spans="1:23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16.11</v>
      </c>
      <c r="G39" s="102">
        <f t="shared" si="0"/>
        <v>-9.59</v>
      </c>
      <c r="H39" s="104">
        <f t="shared" si="3"/>
        <v>62.68482490272373</v>
      </c>
      <c r="I39" s="103">
        <f t="shared" si="4"/>
        <v>-38.89</v>
      </c>
      <c r="J39" s="103">
        <f t="shared" si="5"/>
        <v>29.29090909090909</v>
      </c>
      <c r="K39" s="126">
        <v>14.01</v>
      </c>
      <c r="L39" s="126">
        <f t="shared" si="1"/>
        <v>2.0999999999999996</v>
      </c>
      <c r="M39" s="214">
        <f t="shared" si="9"/>
        <v>1.1498929336188437</v>
      </c>
      <c r="N39" s="104">
        <f>E39-березень!E39</f>
        <v>7</v>
      </c>
      <c r="O39" s="142">
        <f>F39-березень!F39</f>
        <v>0</v>
      </c>
      <c r="P39" s="105">
        <f t="shared" si="6"/>
        <v>-7</v>
      </c>
      <c r="Q39" s="103"/>
      <c r="R39" s="106"/>
      <c r="S39" s="107"/>
      <c r="T39" s="145"/>
      <c r="U39" s="245">
        <f t="shared" si="8"/>
        <v>0</v>
      </c>
      <c r="V39" s="131"/>
      <c r="W39" s="262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7"/>
      <c r="T40" s="145"/>
      <c r="U40" s="245">
        <f t="shared" si="8"/>
        <v>0</v>
      </c>
      <c r="V40" s="131"/>
      <c r="W40" s="262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149">
        <f>F42+F43+F44+F45+F46+F48+F50+F51+F52+F53+F54+F59+F60+F64+F47</f>
        <v>17693.13</v>
      </c>
      <c r="G41" s="149">
        <f>G42+G43+G44+G45+G46+G48+G50+G51+G52+G53+G54+G59+G60+G64</f>
        <v>-1707.8800000000003</v>
      </c>
      <c r="H41" s="150">
        <f>F41/E41*100</f>
        <v>91.03980035503872</v>
      </c>
      <c r="I41" s="151">
        <f>F41-D41</f>
        <v>-41331.869999999995</v>
      </c>
      <c r="J41" s="151">
        <f>F41/D41*100</f>
        <v>29.975654383735705</v>
      </c>
      <c r="K41" s="149">
        <v>16760.63</v>
      </c>
      <c r="L41" s="149">
        <f t="shared" si="1"/>
        <v>932.5</v>
      </c>
      <c r="M41" s="203">
        <f t="shared" si="9"/>
        <v>1.0556363334791115</v>
      </c>
      <c r="N41" s="149">
        <f>N42+N43+N44+N45+N46+N48+N50+N51+N52+N53+N54+N59+N60+N64+N47</f>
        <v>5120.8</v>
      </c>
      <c r="O41" s="149">
        <f>O42+O43+O44+O45+O46+O48+O50+O51+O52+O53+O54+O59+O60+O64+O47</f>
        <v>3818.889999999999</v>
      </c>
      <c r="P41" s="149">
        <f>P42+P43+P44+P45+P46+P48+P50+P51+P52+P53+P54+P59+P60+P64</f>
        <v>-1295.1100000000006</v>
      </c>
      <c r="Q41" s="149">
        <f>O41/N41*100</f>
        <v>74.57604280581157</v>
      </c>
      <c r="R41" s="15" t="e">
        <f>#N/A</f>
        <v>#N/A</v>
      </c>
      <c r="S41" s="15" t="e">
        <f>#N/A</f>
        <v>#N/A</v>
      </c>
      <c r="T41" s="145"/>
      <c r="U41" s="245"/>
      <c r="W41" s="262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95.75</v>
      </c>
      <c r="L42" s="163">
        <f t="shared" si="1"/>
        <v>-282.57</v>
      </c>
      <c r="M42" s="216">
        <f t="shared" si="9"/>
        <v>-1.9511227154046997</v>
      </c>
      <c r="N42" s="162">
        <f>E42-березень!E42</f>
        <v>0</v>
      </c>
      <c r="O42" s="166">
        <f>F42-березень!F42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5">
        <f t="shared" si="8"/>
        <v>196</v>
      </c>
      <c r="V42" s="131"/>
      <c r="W42" s="262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</v>
      </c>
      <c r="G43" s="160">
        <f aca="true" t="shared" si="12" ref="G43:G66">F43-E43</f>
        <v>-293.1400000000003</v>
      </c>
      <c r="H43" s="162">
        <f t="shared" si="10"/>
        <v>96.38098765432098</v>
      </c>
      <c r="I43" s="163">
        <f aca="true" t="shared" si="13" ref="I43:I66">F43-D43</f>
        <v>-22193.14</v>
      </c>
      <c r="J43" s="163">
        <f>F43/D43*100</f>
        <v>26.022866666666665</v>
      </c>
      <c r="K43" s="163">
        <v>6753.41</v>
      </c>
      <c r="L43" s="163">
        <f t="shared" si="1"/>
        <v>1053.4499999999998</v>
      </c>
      <c r="M43" s="216"/>
      <c r="N43" s="162">
        <f>E43-березень!E43</f>
        <v>2800</v>
      </c>
      <c r="O43" s="166">
        <f>F43-березень!F43</f>
        <v>3105.0199999999995</v>
      </c>
      <c r="P43" s="165">
        <f aca="true" t="shared" si="14" ref="P43:P66">O43-N43</f>
        <v>305.0199999999995</v>
      </c>
      <c r="Q43" s="163">
        <f t="shared" si="11"/>
        <v>110.89357142857142</v>
      </c>
      <c r="R43" s="36"/>
      <c r="S43" s="93"/>
      <c r="T43" s="145"/>
      <c r="U43" s="245"/>
      <c r="V43" s="131"/>
      <c r="W43" s="262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77.8</v>
      </c>
      <c r="G44" s="160">
        <f t="shared" si="12"/>
        <v>57.8</v>
      </c>
      <c r="H44" s="162">
        <f>F44/E44*100</f>
        <v>388.99999999999994</v>
      </c>
      <c r="I44" s="163">
        <f t="shared" si="13"/>
        <v>37.8</v>
      </c>
      <c r="J44" s="163">
        <f aca="true" t="shared" si="15" ref="J44:J65">F44/D44*100</f>
        <v>194.49999999999997</v>
      </c>
      <c r="K44" s="163">
        <v>27.51</v>
      </c>
      <c r="L44" s="163">
        <f t="shared" si="1"/>
        <v>50.28999999999999</v>
      </c>
      <c r="M44" s="216">
        <f aca="true" t="shared" si="16" ref="M44:M66">F44/K44</f>
        <v>2.828062522719011</v>
      </c>
      <c r="N44" s="162">
        <f>E44-березень!E44</f>
        <v>1</v>
      </c>
      <c r="O44" s="166">
        <f>F44-березень!F44</f>
        <v>5.719999999999999</v>
      </c>
      <c r="P44" s="165">
        <f t="shared" si="14"/>
        <v>4.719999999999999</v>
      </c>
      <c r="Q44" s="163">
        <f t="shared" si="11"/>
        <v>571.9999999999999</v>
      </c>
      <c r="R44" s="36"/>
      <c r="S44" s="93"/>
      <c r="T44" s="145"/>
      <c r="U44" s="245"/>
      <c r="V44" s="131"/>
      <c r="W44" s="262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5"/>
      <c r="V45" s="131"/>
      <c r="W45" s="262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278.98</v>
      </c>
      <c r="G46" s="160">
        <f t="shared" si="12"/>
        <v>194.98000000000002</v>
      </c>
      <c r="H46" s="162">
        <f t="shared" si="10"/>
        <v>332.11904761904765</v>
      </c>
      <c r="I46" s="163">
        <f t="shared" si="13"/>
        <v>18.980000000000018</v>
      </c>
      <c r="J46" s="163">
        <f t="shared" si="15"/>
        <v>107.30000000000001</v>
      </c>
      <c r="K46" s="163">
        <v>34.2</v>
      </c>
      <c r="L46" s="163">
        <f t="shared" si="1"/>
        <v>244.78000000000003</v>
      </c>
      <c r="M46" s="216">
        <f t="shared" si="16"/>
        <v>8.157309941520468</v>
      </c>
      <c r="N46" s="162">
        <f>E46-березень!E46</f>
        <v>22</v>
      </c>
      <c r="O46" s="166">
        <f>F46-березень!F46</f>
        <v>1.2200000000000273</v>
      </c>
      <c r="P46" s="165">
        <f t="shared" si="14"/>
        <v>-20.779999999999973</v>
      </c>
      <c r="Q46" s="163">
        <f t="shared" si="11"/>
        <v>5.545454545454669</v>
      </c>
      <c r="R46" s="36"/>
      <c r="S46" s="93"/>
      <c r="T46" s="145"/>
      <c r="U46" s="245"/>
      <c r="V46" s="131"/>
      <c r="W46" s="262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0.51</v>
      </c>
      <c r="G47" s="160">
        <f t="shared" si="12"/>
        <v>-33.49</v>
      </c>
      <c r="H47" s="162">
        <f t="shared" si="10"/>
        <v>1.5</v>
      </c>
      <c r="I47" s="163">
        <f t="shared" si="13"/>
        <v>-96.99</v>
      </c>
      <c r="J47" s="163">
        <f t="shared" si="15"/>
        <v>0.5230769230769231</v>
      </c>
      <c r="K47" s="163">
        <v>6.8</v>
      </c>
      <c r="L47" s="163">
        <f t="shared" si="1"/>
        <v>-6.29</v>
      </c>
      <c r="M47" s="216"/>
      <c r="N47" s="162">
        <f>E47-березень!E47</f>
        <v>6.800000000000001</v>
      </c>
      <c r="O47" s="166">
        <f>F47-березень!F47</f>
        <v>0</v>
      </c>
      <c r="P47" s="165">
        <f t="shared" si="14"/>
        <v>-6.800000000000001</v>
      </c>
      <c r="Q47" s="163">
        <f t="shared" si="11"/>
        <v>0</v>
      </c>
      <c r="R47" s="36"/>
      <c r="S47" s="93"/>
      <c r="T47" s="145"/>
      <c r="U47" s="245"/>
      <c r="V47" s="131"/>
      <c r="W47" s="262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308.29</v>
      </c>
      <c r="G48" s="160">
        <f t="shared" si="12"/>
        <v>-31.70999999999998</v>
      </c>
      <c r="H48" s="162">
        <f t="shared" si="10"/>
        <v>90.6735294117647</v>
      </c>
      <c r="I48" s="163">
        <f t="shared" si="13"/>
        <v>-421.71</v>
      </c>
      <c r="J48" s="163">
        <f t="shared" si="15"/>
        <v>42.23150684931507</v>
      </c>
      <c r="K48" s="163">
        <v>0</v>
      </c>
      <c r="L48" s="163">
        <f t="shared" si="1"/>
        <v>308.29</v>
      </c>
      <c r="M48" s="216"/>
      <c r="N48" s="162">
        <f>E48-березень!E48</f>
        <v>60</v>
      </c>
      <c r="O48" s="166">
        <f>F48-березень!F48</f>
        <v>7.340000000000032</v>
      </c>
      <c r="P48" s="165">
        <f t="shared" si="14"/>
        <v>-52.65999999999997</v>
      </c>
      <c r="Q48" s="163">
        <f t="shared" si="11"/>
        <v>12.233333333333386</v>
      </c>
      <c r="R48" s="36"/>
      <c r="S48" s="93"/>
      <c r="T48" s="145"/>
      <c r="U48" s="245"/>
      <c r="V48" s="131"/>
      <c r="W48" s="262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93"/>
      <c r="T49" s="145"/>
      <c r="U49" s="245"/>
      <c r="V49" s="131"/>
      <c r="W49" s="262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3675.36</v>
      </c>
      <c r="G50" s="160">
        <f t="shared" si="12"/>
        <v>-564.6399999999999</v>
      </c>
      <c r="H50" s="162">
        <f t="shared" si="10"/>
        <v>86.68301886792453</v>
      </c>
      <c r="I50" s="163">
        <f t="shared" si="13"/>
        <v>-7324.639999999999</v>
      </c>
      <c r="J50" s="163">
        <f t="shared" si="15"/>
        <v>33.41236363636364</v>
      </c>
      <c r="K50" s="163">
        <v>3201.41</v>
      </c>
      <c r="L50" s="163">
        <f t="shared" si="1"/>
        <v>473.9500000000003</v>
      </c>
      <c r="M50" s="216">
        <f t="shared" si="16"/>
        <v>1.148044143049469</v>
      </c>
      <c r="N50" s="162">
        <f>E50-березень!E50</f>
        <v>900</v>
      </c>
      <c r="O50" s="166">
        <f>F50-березень!F50</f>
        <v>90.42000000000007</v>
      </c>
      <c r="P50" s="165">
        <f t="shared" si="14"/>
        <v>-809.5799999999999</v>
      </c>
      <c r="Q50" s="163">
        <f t="shared" si="11"/>
        <v>10.046666666666674</v>
      </c>
      <c r="R50" s="36"/>
      <c r="S50" s="93"/>
      <c r="T50" s="145"/>
      <c r="U50" s="245"/>
      <c r="V50" s="131"/>
      <c r="W50" s="262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138.96</v>
      </c>
      <c r="G51" s="160">
        <f t="shared" si="12"/>
        <v>38.96000000000001</v>
      </c>
      <c r="H51" s="162">
        <f t="shared" si="10"/>
        <v>138.96</v>
      </c>
      <c r="I51" s="163">
        <f t="shared" si="13"/>
        <v>-171.04</v>
      </c>
      <c r="J51" s="163">
        <f t="shared" si="15"/>
        <v>44.825806451612905</v>
      </c>
      <c r="K51" s="163">
        <v>1.37</v>
      </c>
      <c r="L51" s="163">
        <f t="shared" si="1"/>
        <v>137.59</v>
      </c>
      <c r="M51" s="216"/>
      <c r="N51" s="162">
        <f>E51-березень!E51</f>
        <v>25</v>
      </c>
      <c r="O51" s="166">
        <f>F51-березень!F51</f>
        <v>3.7600000000000193</v>
      </c>
      <c r="P51" s="165">
        <f t="shared" si="14"/>
        <v>-21.23999999999998</v>
      </c>
      <c r="Q51" s="163">
        <f t="shared" si="11"/>
        <v>15.040000000000079</v>
      </c>
      <c r="R51" s="36"/>
      <c r="S51" s="93"/>
      <c r="T51" s="145"/>
      <c r="U51" s="245"/>
      <c r="V51" s="131"/>
      <c r="W51" s="262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4</v>
      </c>
      <c r="G52" s="160">
        <f t="shared" si="12"/>
        <v>0</v>
      </c>
      <c r="H52" s="162">
        <f t="shared" si="10"/>
        <v>100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E52-березень!E52</f>
        <v>1</v>
      </c>
      <c r="O52" s="166">
        <f>F52-березень!F52</f>
        <v>0</v>
      </c>
      <c r="P52" s="165">
        <f t="shared" si="14"/>
        <v>-1</v>
      </c>
      <c r="Q52" s="163">
        <f t="shared" si="11"/>
        <v>0</v>
      </c>
      <c r="R52" s="36"/>
      <c r="S52" s="93"/>
      <c r="T52" s="145"/>
      <c r="U52" s="245"/>
      <c r="V52" s="131"/>
      <c r="W52" s="262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</v>
      </c>
      <c r="G53" s="160">
        <f t="shared" si="12"/>
        <v>-242.30000000000018</v>
      </c>
      <c r="H53" s="162">
        <f t="shared" si="10"/>
        <v>90.02880658436213</v>
      </c>
      <c r="I53" s="163">
        <f t="shared" si="13"/>
        <v>-5087.3</v>
      </c>
      <c r="J53" s="163">
        <f t="shared" si="15"/>
        <v>30.07147766323024</v>
      </c>
      <c r="K53" s="163">
        <v>2631.35</v>
      </c>
      <c r="L53" s="163">
        <f t="shared" si="1"/>
        <v>-443.6500000000001</v>
      </c>
      <c r="M53" s="216">
        <f t="shared" si="16"/>
        <v>0.8313983316548539</v>
      </c>
      <c r="N53" s="162">
        <f>E53-березень!E53</f>
        <v>610</v>
      </c>
      <c r="O53" s="166">
        <f>F53-березень!F53</f>
        <v>562.6099999999999</v>
      </c>
      <c r="P53" s="165">
        <f t="shared" si="14"/>
        <v>-47.3900000000001</v>
      </c>
      <c r="Q53" s="163">
        <f t="shared" si="11"/>
        <v>92.2311475409836</v>
      </c>
      <c r="R53" s="36"/>
      <c r="S53" s="93"/>
      <c r="T53" s="145"/>
      <c r="U53" s="245"/>
      <c r="V53" s="131"/>
      <c r="W53" s="262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248.62</v>
      </c>
      <c r="G54" s="160">
        <f t="shared" si="12"/>
        <v>-81.38</v>
      </c>
      <c r="H54" s="162">
        <f t="shared" si="10"/>
        <v>75.33939393939394</v>
      </c>
      <c r="I54" s="163">
        <f t="shared" si="13"/>
        <v>-951.38</v>
      </c>
      <c r="J54" s="163">
        <f t="shared" si="15"/>
        <v>20.718333333333334</v>
      </c>
      <c r="K54" s="163">
        <v>1998.74</v>
      </c>
      <c r="L54" s="163">
        <f t="shared" si="1"/>
        <v>-1750.12</v>
      </c>
      <c r="M54" s="216">
        <f t="shared" si="16"/>
        <v>0.12438836466974194</v>
      </c>
      <c r="N54" s="162">
        <f>E54-березень!E54</f>
        <v>95</v>
      </c>
      <c r="O54" s="166">
        <f>F54-березень!F54</f>
        <v>2.6200000000000045</v>
      </c>
      <c r="P54" s="165">
        <f t="shared" si="14"/>
        <v>-92.38</v>
      </c>
      <c r="Q54" s="163">
        <f t="shared" si="11"/>
        <v>2.7578947368421103</v>
      </c>
      <c r="R54" s="36"/>
      <c r="S54" s="93"/>
      <c r="T54" s="145"/>
      <c r="U54" s="245"/>
      <c r="V54" s="131"/>
      <c r="W54" s="262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222.59</v>
      </c>
      <c r="G55" s="33">
        <f t="shared" si="12"/>
        <v>-47.41</v>
      </c>
      <c r="H55" s="29">
        <f t="shared" si="10"/>
        <v>82.44074074074074</v>
      </c>
      <c r="I55" s="103">
        <f t="shared" si="13"/>
        <v>-775.41</v>
      </c>
      <c r="J55" s="103">
        <f t="shared" si="15"/>
        <v>22.303607214428858</v>
      </c>
      <c r="K55" s="103">
        <v>235.42</v>
      </c>
      <c r="L55" s="103">
        <f>F55-K55</f>
        <v>-12.829999999999984</v>
      </c>
      <c r="M55" s="108">
        <f t="shared" si="16"/>
        <v>0.9455016566137118</v>
      </c>
      <c r="N55" s="104">
        <f>E55-березень!E55</f>
        <v>80</v>
      </c>
      <c r="O55" s="142">
        <f>F55-березень!F55</f>
        <v>1.6500000000000057</v>
      </c>
      <c r="P55" s="105">
        <f t="shared" si="14"/>
        <v>-78.35</v>
      </c>
      <c r="Q55" s="118">
        <f t="shared" si="11"/>
        <v>2.062500000000007</v>
      </c>
      <c r="R55" s="36"/>
      <c r="S55" s="93"/>
      <c r="T55" s="145"/>
      <c r="U55" s="245"/>
      <c r="V55" s="131"/>
      <c r="W55" s="262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0.15</v>
      </c>
      <c r="L56" s="103">
        <f>F56-K56</f>
        <v>-0.04999999999999999</v>
      </c>
      <c r="M56" s="108">
        <f t="shared" si="16"/>
        <v>0.6666666666666667</v>
      </c>
      <c r="N56" s="104">
        <f>E56-березень!E56</f>
        <v>0</v>
      </c>
      <c r="O56" s="142">
        <f>F56-березень!F56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5"/>
      <c r="V56" s="131"/>
      <c r="W56" s="262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93"/>
      <c r="T57" s="145"/>
      <c r="U57" s="245"/>
      <c r="V57" s="131"/>
      <c r="W57" s="262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25.93</v>
      </c>
      <c r="G58" s="33">
        <f t="shared" si="12"/>
        <v>-34.07</v>
      </c>
      <c r="H58" s="29">
        <f t="shared" si="10"/>
        <v>43.21666666666666</v>
      </c>
      <c r="I58" s="103">
        <f t="shared" si="13"/>
        <v>-174.07</v>
      </c>
      <c r="J58" s="103">
        <f t="shared" si="15"/>
        <v>12.964999999999998</v>
      </c>
      <c r="K58" s="103">
        <v>1763.16</v>
      </c>
      <c r="L58" s="103">
        <f>F58-K58</f>
        <v>-1737.23</v>
      </c>
      <c r="M58" s="108">
        <f t="shared" si="16"/>
        <v>0.014706549604119875</v>
      </c>
      <c r="N58" s="104">
        <f>E58-березень!E58</f>
        <v>15</v>
      </c>
      <c r="O58" s="142">
        <f>F58-березень!F58</f>
        <v>0.9699999999999989</v>
      </c>
      <c r="P58" s="105">
        <f t="shared" si="14"/>
        <v>-14.030000000000001</v>
      </c>
      <c r="Q58" s="118">
        <f t="shared" si="11"/>
        <v>6.46666666666666</v>
      </c>
      <c r="R58" s="36"/>
      <c r="S58" s="93"/>
      <c r="T58" s="145"/>
      <c r="U58" s="245"/>
      <c r="V58" s="131"/>
      <c r="W58" s="262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/>
      <c r="S59" s="93"/>
      <c r="T59" s="145"/>
      <c r="U59" s="245"/>
      <c r="V59" s="131"/>
      <c r="W59" s="262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3115.91</v>
      </c>
      <c r="G60" s="160">
        <f t="shared" si="12"/>
        <v>-544.0900000000001</v>
      </c>
      <c r="H60" s="162">
        <f t="shared" si="10"/>
        <v>85.13415300546447</v>
      </c>
      <c r="I60" s="163">
        <f t="shared" si="13"/>
        <v>-4234.09</v>
      </c>
      <c r="J60" s="163">
        <f t="shared" si="15"/>
        <v>42.39333333333333</v>
      </c>
      <c r="K60" s="163">
        <v>1974.46</v>
      </c>
      <c r="L60" s="163">
        <f aca="true" t="shared" si="17" ref="L60:L66">F60-K60</f>
        <v>1141.4499999999998</v>
      </c>
      <c r="M60" s="216">
        <f t="shared" si="16"/>
        <v>1.5781074319054322</v>
      </c>
      <c r="N60" s="162">
        <f>E60-березень!E60</f>
        <v>600</v>
      </c>
      <c r="O60" s="166">
        <f>F60-березень!F60</f>
        <v>40.179999999999836</v>
      </c>
      <c r="P60" s="165">
        <f t="shared" si="14"/>
        <v>-559.8200000000002</v>
      </c>
      <c r="Q60" s="163">
        <f t="shared" si="11"/>
        <v>6.69666666666664</v>
      </c>
      <c r="R60" s="36"/>
      <c r="S60" s="93"/>
      <c r="T60" s="145"/>
      <c r="U60" s="245"/>
      <c r="V60" s="131"/>
      <c r="W60" s="262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5"/>
      <c r="V61" s="131"/>
      <c r="W61" s="262"/>
    </row>
    <row r="62" spans="1:23" s="6" customFormat="1" ht="30.75">
      <c r="A62" s="8"/>
      <c r="B62" s="49" t="s">
        <v>42</v>
      </c>
      <c r="C62" s="60"/>
      <c r="D62" s="102"/>
      <c r="E62" s="102"/>
      <c r="F62" s="199">
        <v>451.69</v>
      </c>
      <c r="G62" s="160"/>
      <c r="H62" s="162"/>
      <c r="I62" s="163"/>
      <c r="J62" s="163"/>
      <c r="K62" s="164">
        <v>387.1</v>
      </c>
      <c r="L62" s="163">
        <f t="shared" si="17"/>
        <v>64.58999999999997</v>
      </c>
      <c r="M62" s="216">
        <f t="shared" si="16"/>
        <v>1.1668561095324206</v>
      </c>
      <c r="N62" s="193"/>
      <c r="O62" s="177">
        <f>F62-березень!F62</f>
        <v>23.95999999999998</v>
      </c>
      <c r="P62" s="164"/>
      <c r="Q62" s="163"/>
      <c r="R62" s="36"/>
      <c r="S62" s="93"/>
      <c r="T62" s="145"/>
      <c r="U62" s="245"/>
      <c r="V62" s="131"/>
      <c r="W62" s="262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5"/>
      <c r="V63" s="131"/>
      <c r="W63" s="262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E64-березень!E64</f>
        <v>0</v>
      </c>
      <c r="O64" s="166">
        <f>F64-березень!F64</f>
        <v>0</v>
      </c>
      <c r="P64" s="165">
        <f t="shared" si="14"/>
        <v>0</v>
      </c>
      <c r="Q64" s="163"/>
      <c r="R64" s="36"/>
      <c r="S64" s="93"/>
      <c r="T64" s="145"/>
      <c r="U64" s="245"/>
      <c r="V64" s="131"/>
      <c r="W64" s="262"/>
    </row>
    <row r="65" spans="1:23" s="6" customFormat="1" ht="30.75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14.27</v>
      </c>
      <c r="G65" s="160">
        <f t="shared" si="12"/>
        <v>9.17</v>
      </c>
      <c r="H65" s="162">
        <f t="shared" si="10"/>
        <v>279.80392156862746</v>
      </c>
      <c r="I65" s="163">
        <f t="shared" si="13"/>
        <v>-0.7300000000000004</v>
      </c>
      <c r="J65" s="163">
        <f t="shared" si="15"/>
        <v>95.13333333333333</v>
      </c>
      <c r="K65" s="163">
        <v>13.52</v>
      </c>
      <c r="L65" s="163">
        <f t="shared" si="17"/>
        <v>0.75</v>
      </c>
      <c r="M65" s="216">
        <f t="shared" si="16"/>
        <v>1.055473372781065</v>
      </c>
      <c r="N65" s="162">
        <f>E65-березень!E65</f>
        <v>1.3999999999999995</v>
      </c>
      <c r="O65" s="166">
        <f>F65-березень!F65</f>
        <v>0</v>
      </c>
      <c r="P65" s="165">
        <f t="shared" si="14"/>
        <v>-1.3999999999999995</v>
      </c>
      <c r="Q65" s="163">
        <f t="shared" si="11"/>
        <v>0</v>
      </c>
      <c r="R65" s="36"/>
      <c r="S65" s="93"/>
      <c r="T65" s="145">
        <v>0.3</v>
      </c>
      <c r="U65" s="245">
        <f>O65-T65</f>
        <v>-0.3</v>
      </c>
      <c r="V65" s="131"/>
      <c r="W65" s="262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0.37</v>
      </c>
      <c r="L66" s="163">
        <f t="shared" si="17"/>
        <v>-5.7</v>
      </c>
      <c r="M66" s="216">
        <f t="shared" si="16"/>
        <v>-14.405405405405405</v>
      </c>
      <c r="N66" s="162">
        <f>E66-березень!E66</f>
        <v>0</v>
      </c>
      <c r="O66" s="166">
        <f>F66-березень!F66</f>
        <v>0</v>
      </c>
      <c r="P66" s="165">
        <f t="shared" si="14"/>
        <v>0</v>
      </c>
      <c r="Q66" s="163"/>
      <c r="R66" s="36"/>
      <c r="S66" s="93"/>
      <c r="T66" s="145"/>
      <c r="U66" s="245"/>
      <c r="V66" s="131"/>
      <c r="W66" s="262"/>
    </row>
    <row r="67" spans="1:23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417417.1</v>
      </c>
      <c r="F67" s="149">
        <f>F8+F41+F65+F66</f>
        <v>316006.89999999997</v>
      </c>
      <c r="G67" s="149">
        <f>F67-E67</f>
        <v>-101410.20000000001</v>
      </c>
      <c r="H67" s="150">
        <f>F67/E67*100</f>
        <v>75.7053077125973</v>
      </c>
      <c r="I67" s="151">
        <f>F67-D67</f>
        <v>-1041484.2000000002</v>
      </c>
      <c r="J67" s="151">
        <f>F67/D67*100</f>
        <v>23.278745621242006</v>
      </c>
      <c r="K67" s="151">
        <v>310905.14</v>
      </c>
      <c r="L67" s="151">
        <f>F67-K67</f>
        <v>5101.759999999951</v>
      </c>
      <c r="M67" s="217">
        <f>F67/K67</f>
        <v>1.0164093781144947</v>
      </c>
      <c r="N67" s="149">
        <f>N8+N41+N65+N66</f>
        <v>110560.2</v>
      </c>
      <c r="O67" s="149">
        <f>O8+O41+O65+O66</f>
        <v>8577.900000000005</v>
      </c>
      <c r="P67" s="153">
        <f>O67-N67</f>
        <v>-101982.29999999999</v>
      </c>
      <c r="Q67" s="151">
        <f>O67/N67*100</f>
        <v>7.758578584336864</v>
      </c>
      <c r="R67" s="26">
        <f>O67-34768</f>
        <v>-26190.099999999995</v>
      </c>
      <c r="S67" s="114">
        <f>O67/34768</f>
        <v>0.24671824666359884</v>
      </c>
      <c r="T67" s="145">
        <v>89561.4</v>
      </c>
      <c r="U67" s="245">
        <f>O67-T67</f>
        <v>-80983.49999999999</v>
      </c>
      <c r="V67" s="131">
        <v>293087.8</v>
      </c>
      <c r="W67" s="263">
        <f>F67-V67</f>
        <v>22919.099999999977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6"/>
      <c r="U68" s="249"/>
      <c r="V68" s="261"/>
      <c r="W68" s="261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6"/>
      <c r="U69" s="249"/>
      <c r="V69" s="261"/>
      <c r="W69" s="261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6"/>
      <c r="U70" s="249"/>
      <c r="V70" s="261"/>
      <c r="W70" s="261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8" ref="G76:G87">F76-E76</f>
        <v>0.11</v>
      </c>
      <c r="H76" s="162"/>
      <c r="I76" s="165">
        <f aca="true" t="shared" si="19" ref="I76:I87">F76-D76</f>
        <v>-104205.92</v>
      </c>
      <c r="J76" s="165">
        <f>F76/D76*100</f>
        <v>0.00010556011010111412</v>
      </c>
      <c r="K76" s="165">
        <v>300.88</v>
      </c>
      <c r="L76" s="165">
        <f aca="true" t="shared" si="20" ref="L76:L87">F76-K76</f>
        <v>-300.77</v>
      </c>
      <c r="M76" s="207">
        <f>F76/K76</f>
        <v>0.00036559425684658335</v>
      </c>
      <c r="N76" s="162">
        <f>E76-березень!E76</f>
        <v>0</v>
      </c>
      <c r="O76" s="166">
        <f>F76-березень!F76</f>
        <v>0</v>
      </c>
      <c r="P76" s="165">
        <f aca="true" t="shared" si="21" ref="P76:P89">O76-N76</f>
        <v>0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291.67</v>
      </c>
      <c r="G77" s="160">
        <f t="shared" si="18"/>
        <v>-8138.33</v>
      </c>
      <c r="H77" s="162">
        <f>F77/E77*100</f>
        <v>3.4599051008303676</v>
      </c>
      <c r="I77" s="165">
        <f t="shared" si="19"/>
        <v>-53708.33</v>
      </c>
      <c r="J77" s="165">
        <f>F77/D77*100</f>
        <v>0.5401296296296296</v>
      </c>
      <c r="K77" s="165">
        <v>472.26</v>
      </c>
      <c r="L77" s="165">
        <f t="shared" si="20"/>
        <v>-180.58999999999997</v>
      </c>
      <c r="M77" s="207">
        <f>F77/K77</f>
        <v>0.6176047092703173</v>
      </c>
      <c r="N77" s="162">
        <f>E77-березень!E77</f>
        <v>3600</v>
      </c>
      <c r="O77" s="166">
        <f>F77-березень!F77</f>
        <v>124.47000000000003</v>
      </c>
      <c r="P77" s="165">
        <f t="shared" si="21"/>
        <v>-3475.5299999999997</v>
      </c>
      <c r="Q77" s="165">
        <f>O77/N77*100</f>
        <v>3.457500000000001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1214.24</v>
      </c>
      <c r="G78" s="160">
        <f t="shared" si="18"/>
        <v>-7285.76</v>
      </c>
      <c r="H78" s="162">
        <f>F78/E78*100</f>
        <v>14.285176470588235</v>
      </c>
      <c r="I78" s="165">
        <f t="shared" si="19"/>
        <v>-77785.76</v>
      </c>
      <c r="J78" s="165">
        <f>F78/D78*100</f>
        <v>1.5370126582278483</v>
      </c>
      <c r="K78" s="165">
        <v>8810.08</v>
      </c>
      <c r="L78" s="165">
        <f t="shared" si="20"/>
        <v>-7595.84</v>
      </c>
      <c r="M78" s="207">
        <f>F78/K78</f>
        <v>0.1378239471151227</v>
      </c>
      <c r="N78" s="162">
        <f>E78-березень!E78</f>
        <v>3850</v>
      </c>
      <c r="O78" s="166">
        <f>F78-березень!F78</f>
        <v>0</v>
      </c>
      <c r="P78" s="165">
        <f t="shared" si="21"/>
        <v>-3850</v>
      </c>
      <c r="Q78" s="165">
        <f>O78/N78*100</f>
        <v>0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4</v>
      </c>
      <c r="F79" s="179">
        <v>3</v>
      </c>
      <c r="G79" s="160">
        <f t="shared" si="18"/>
        <v>-1</v>
      </c>
      <c r="H79" s="162">
        <f>F79/E79*100</f>
        <v>75</v>
      </c>
      <c r="I79" s="165">
        <f t="shared" si="19"/>
        <v>-9</v>
      </c>
      <c r="J79" s="165">
        <f>F79/D79*100</f>
        <v>25</v>
      </c>
      <c r="K79" s="165">
        <v>4</v>
      </c>
      <c r="L79" s="165">
        <f t="shared" si="20"/>
        <v>-1</v>
      </c>
      <c r="M79" s="207"/>
      <c r="N79" s="162">
        <f>E79-березень!E79</f>
        <v>1</v>
      </c>
      <c r="O79" s="166">
        <f>F79-березень!F79</f>
        <v>0</v>
      </c>
      <c r="P79" s="165">
        <f t="shared" si="21"/>
        <v>-1</v>
      </c>
      <c r="Q79" s="165">
        <f>O79/N79*100</f>
        <v>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1509.02</v>
      </c>
      <c r="G80" s="183">
        <f t="shared" si="18"/>
        <v>-15424.98</v>
      </c>
      <c r="H80" s="184">
        <f>F80/E80*100</f>
        <v>8.911184599031534</v>
      </c>
      <c r="I80" s="185">
        <f t="shared" si="19"/>
        <v>-235709.01</v>
      </c>
      <c r="J80" s="185">
        <f>F80/D80*100</f>
        <v>0.6361320849009664</v>
      </c>
      <c r="K80" s="185">
        <v>9587.22</v>
      </c>
      <c r="L80" s="185">
        <f t="shared" si="20"/>
        <v>-8078.199999999999</v>
      </c>
      <c r="M80" s="212">
        <f>F80/K80</f>
        <v>0.15739912091304883</v>
      </c>
      <c r="N80" s="183">
        <f>N76+N77+N78+N79</f>
        <v>7451</v>
      </c>
      <c r="O80" s="187">
        <f>O76+O77+O78+O79</f>
        <v>124.47000000000003</v>
      </c>
      <c r="P80" s="185">
        <f t="shared" si="21"/>
        <v>-7326.53</v>
      </c>
      <c r="Q80" s="185">
        <f>O80/N80*100</f>
        <v>1.6705140249630928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8.78</v>
      </c>
      <c r="G81" s="160">
        <f t="shared" si="18"/>
        <v>6.279999999999999</v>
      </c>
      <c r="H81" s="162"/>
      <c r="I81" s="165">
        <f t="shared" si="19"/>
        <v>-31.22</v>
      </c>
      <c r="J81" s="165"/>
      <c r="K81" s="165">
        <v>3.06</v>
      </c>
      <c r="L81" s="165">
        <f t="shared" si="20"/>
        <v>5.719999999999999</v>
      </c>
      <c r="M81" s="207">
        <f>F81/K81</f>
        <v>2.8692810457516336</v>
      </c>
      <c r="N81" s="162">
        <f>E81-березень!E81</f>
        <v>2</v>
      </c>
      <c r="O81" s="166">
        <f>F81-березень!F81</f>
        <v>0</v>
      </c>
      <c r="P81" s="165">
        <f t="shared" si="21"/>
        <v>-2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2218.15</v>
      </c>
      <c r="G83" s="160">
        <f t="shared" si="18"/>
        <v>-147.04999999999973</v>
      </c>
      <c r="H83" s="162">
        <f>F83/E83*100</f>
        <v>93.7827667850499</v>
      </c>
      <c r="I83" s="165">
        <f t="shared" si="19"/>
        <v>-6141.85</v>
      </c>
      <c r="J83" s="165">
        <f>F83/D83*100</f>
        <v>26.532894736842106</v>
      </c>
      <c r="K83" s="165">
        <v>2035.53</v>
      </c>
      <c r="L83" s="165">
        <f t="shared" si="20"/>
        <v>182.62000000000012</v>
      </c>
      <c r="M83" s="207"/>
      <c r="N83" s="162">
        <f>E83-березень!E83</f>
        <v>8.899999999999636</v>
      </c>
      <c r="O83" s="166">
        <f>F83-березень!F83</f>
        <v>0.20000000000027285</v>
      </c>
      <c r="P83" s="165">
        <f>O83-N83</f>
        <v>-8.699999999999363</v>
      </c>
      <c r="Q83" s="188">
        <f>O83/N83*100</f>
        <v>2.2471910112391127</v>
      </c>
      <c r="R83" s="40"/>
      <c r="S83" s="98"/>
      <c r="T83" s="28">
        <v>3.8</v>
      </c>
      <c r="U83" s="248">
        <f>O83-T83</f>
        <v>-3.599999999999727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0.52</v>
      </c>
      <c r="L84" s="165">
        <f t="shared" si="20"/>
        <v>-0.49</v>
      </c>
      <c r="M84" s="207">
        <f aca="true" t="shared" si="22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2226.96</v>
      </c>
      <c r="G85" s="181">
        <f>G81+G84+G82+G83</f>
        <v>-140.73999999999972</v>
      </c>
      <c r="H85" s="184">
        <f>F85/E85*100</f>
        <v>94.05583477636526</v>
      </c>
      <c r="I85" s="185">
        <f t="shared" si="19"/>
        <v>-6173.04</v>
      </c>
      <c r="J85" s="185">
        <f>F85/D85*100</f>
        <v>26.51142857142857</v>
      </c>
      <c r="K85" s="185">
        <v>2039.11</v>
      </c>
      <c r="L85" s="185">
        <f t="shared" si="20"/>
        <v>187.85000000000014</v>
      </c>
      <c r="M85" s="218">
        <f t="shared" si="22"/>
        <v>1.0921235244788168</v>
      </c>
      <c r="N85" s="183">
        <f>N81+N84+N82+N83</f>
        <v>10.899999999999636</v>
      </c>
      <c r="O85" s="187">
        <f>O81+O84+O82+O83</f>
        <v>0.20000000000027285</v>
      </c>
      <c r="P85" s="183">
        <f>P81+P84+P82+P83</f>
        <v>-10.699999999999363</v>
      </c>
      <c r="Q85" s="185">
        <f>O85/N85*100</f>
        <v>1.8348623853236652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7.12</v>
      </c>
      <c r="G86" s="160">
        <f t="shared" si="18"/>
        <v>-6.9799999999999995</v>
      </c>
      <c r="H86" s="162">
        <f>F86/E86*100</f>
        <v>50.49645390070923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E86-березень!E86</f>
        <v>1.1999999999999993</v>
      </c>
      <c r="O86" s="166">
        <f>F86-березень!F86</f>
        <v>0</v>
      </c>
      <c r="P86" s="165">
        <f t="shared" si="21"/>
        <v>-1.1999999999999993</v>
      </c>
      <c r="Q86" s="165">
        <f>O86/N86</f>
        <v>0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8"/>
        <v>35.57</v>
      </c>
      <c r="H87" s="162"/>
      <c r="I87" s="165">
        <f t="shared" si="19"/>
        <v>35.57</v>
      </c>
      <c r="J87" s="165"/>
      <c r="K87" s="165">
        <v>0</v>
      </c>
      <c r="L87" s="165">
        <f t="shared" si="20"/>
        <v>35.57</v>
      </c>
      <c r="M87" s="165"/>
      <c r="N87" s="162">
        <f>E87-березень!E87</f>
        <v>0</v>
      </c>
      <c r="O87" s="166">
        <f>F87-березень!F87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19315.8</v>
      </c>
      <c r="F88" s="189">
        <f>F74+F86+F80+F85+F87</f>
        <v>3778.6800000000003</v>
      </c>
      <c r="G88" s="190">
        <f>F88-E88</f>
        <v>-15537.119999999999</v>
      </c>
      <c r="H88" s="191">
        <f>F88/E88*100</f>
        <v>19.562637840524342</v>
      </c>
      <c r="I88" s="192">
        <f>F88-D88</f>
        <v>-241877.35</v>
      </c>
      <c r="J88" s="192">
        <f>F88/D88*100</f>
        <v>1.5381995711646077</v>
      </c>
      <c r="K88" s="192">
        <v>11639.75</v>
      </c>
      <c r="L88" s="192">
        <f>F88-K88</f>
        <v>-7861.07</v>
      </c>
      <c r="M88" s="219">
        <f t="shared" si="22"/>
        <v>0.32463583839859106</v>
      </c>
      <c r="N88" s="189">
        <f>N74+N86+N80+N85+N87</f>
        <v>7463.099999999999</v>
      </c>
      <c r="O88" s="189">
        <f>O74+O86+O80+O85+O87</f>
        <v>124.6700000000003</v>
      </c>
      <c r="P88" s="192">
        <f t="shared" si="21"/>
        <v>-7338.429999999999</v>
      </c>
      <c r="Q88" s="192">
        <f>O88/N88*100</f>
        <v>1.6704854551057913</v>
      </c>
      <c r="R88" s="26">
        <f>O88-8104.96</f>
        <v>-7980.29</v>
      </c>
      <c r="S88" s="94">
        <f>O88/8104.96</f>
        <v>0.015381938960833896</v>
      </c>
    </row>
    <row r="89" spans="2:19" ht="17.25">
      <c r="B89" s="21" t="s">
        <v>171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319785.57999999996</v>
      </c>
      <c r="G89" s="190">
        <f>F89-E89</f>
        <v>-116947.32</v>
      </c>
      <c r="H89" s="191">
        <f>F89/E89*100</f>
        <v>73.22223262776859</v>
      </c>
      <c r="I89" s="192">
        <f>F89-D89</f>
        <v>-1283361.5500000003</v>
      </c>
      <c r="J89" s="192">
        <f>F89/D89*100</f>
        <v>19.94736315936267</v>
      </c>
      <c r="K89" s="192">
        <f>K67+K88</f>
        <v>322544.89</v>
      </c>
      <c r="L89" s="192">
        <f>F89-K89</f>
        <v>-2759.310000000056</v>
      </c>
      <c r="M89" s="219">
        <f t="shared" si="22"/>
        <v>0.9914451907763907</v>
      </c>
      <c r="N89" s="190">
        <f>N67+N88</f>
        <v>118023.3</v>
      </c>
      <c r="O89" s="190">
        <f>O67+O88</f>
        <v>8702.570000000005</v>
      </c>
      <c r="P89" s="192">
        <f t="shared" si="21"/>
        <v>-109320.73</v>
      </c>
      <c r="Q89" s="192">
        <f>O89/N89*100</f>
        <v>7.373603347813528</v>
      </c>
      <c r="R89" s="26">
        <f>O89-42872.96</f>
        <v>-34170.38999999999</v>
      </c>
      <c r="S89" s="94">
        <f>O89/42872.96</f>
        <v>0.20298505165027106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17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5998.958823529411</v>
      </c>
      <c r="D92" s="4" t="s">
        <v>24</v>
      </c>
      <c r="G92" s="294"/>
      <c r="H92" s="294"/>
      <c r="I92" s="294"/>
      <c r="J92" s="294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42829</v>
      </c>
      <c r="D93" s="28">
        <v>3885</v>
      </c>
      <c r="G93" s="4" t="s">
        <v>58</v>
      </c>
      <c r="O93" s="286"/>
      <c r="P93" s="286"/>
    </row>
    <row r="94" spans="3:16" ht="15">
      <c r="C94" s="80">
        <v>42828</v>
      </c>
      <c r="D94" s="28">
        <v>4693</v>
      </c>
      <c r="F94" s="112" t="s">
        <v>58</v>
      </c>
      <c r="G94" s="280"/>
      <c r="H94" s="280"/>
      <c r="I94" s="117"/>
      <c r="J94" s="283"/>
      <c r="K94" s="283"/>
      <c r="L94" s="283"/>
      <c r="M94" s="283"/>
      <c r="N94" s="283"/>
      <c r="O94" s="286"/>
      <c r="P94" s="286"/>
    </row>
    <row r="95" spans="3:16" ht="15.75" customHeight="1">
      <c r="C95" s="80">
        <v>42825</v>
      </c>
      <c r="D95" s="28">
        <v>4482.8</v>
      </c>
      <c r="F95" s="67"/>
      <c r="G95" s="280"/>
      <c r="H95" s="280"/>
      <c r="I95" s="117"/>
      <c r="J95" s="287"/>
      <c r="K95" s="287"/>
      <c r="L95" s="287"/>
      <c r="M95" s="287"/>
      <c r="N95" s="287"/>
      <c r="O95" s="286"/>
      <c r="P95" s="286"/>
    </row>
    <row r="96" spans="3:14" ht="15.75" customHeight="1">
      <c r="C96" s="80"/>
      <c r="F96" s="67"/>
      <c r="G96" s="282"/>
      <c r="H96" s="282"/>
      <c r="I96" s="123"/>
      <c r="J96" s="283"/>
      <c r="K96" s="283"/>
      <c r="L96" s="283"/>
      <c r="M96" s="283"/>
      <c r="N96" s="283"/>
    </row>
    <row r="97" spans="2:14" ht="18" customHeight="1">
      <c r="B97" s="284" t="s">
        <v>56</v>
      </c>
      <c r="C97" s="285"/>
      <c r="D97" s="132">
        <v>4700.00292</v>
      </c>
      <c r="E97" s="68"/>
      <c r="F97" s="124" t="s">
        <v>105</v>
      </c>
      <c r="G97" s="280"/>
      <c r="H97" s="280"/>
      <c r="I97" s="125"/>
      <c r="J97" s="283"/>
      <c r="K97" s="283"/>
      <c r="L97" s="283"/>
      <c r="M97" s="283"/>
      <c r="N97" s="283"/>
    </row>
    <row r="98" spans="6:13" ht="9.75" customHeight="1">
      <c r="F98" s="67"/>
      <c r="G98" s="280"/>
      <c r="H98" s="280"/>
      <c r="I98" s="67"/>
      <c r="J98" s="68"/>
      <c r="K98" s="68"/>
      <c r="L98" s="68"/>
      <c r="M98" s="68"/>
    </row>
    <row r="99" spans="2:13" ht="22.5" customHeight="1" hidden="1">
      <c r="B99" s="278" t="s">
        <v>59</v>
      </c>
      <c r="C99" s="279"/>
      <c r="D99" s="79">
        <v>0</v>
      </c>
      <c r="E99" s="50" t="s">
        <v>24</v>
      </c>
      <c r="F99" s="67"/>
      <c r="G99" s="280"/>
      <c r="H99" s="280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444</v>
      </c>
      <c r="F100" s="201">
        <f>F48+F51+F52</f>
        <v>451.25</v>
      </c>
      <c r="G100" s="67">
        <f>G48+G51+G52</f>
        <v>7.250000000000028</v>
      </c>
      <c r="H100" s="68"/>
      <c r="I100" s="68"/>
      <c r="N100" s="28">
        <f>N48+N51+N52</f>
        <v>86</v>
      </c>
      <c r="O100" s="200">
        <f>O48+O51+O52</f>
        <v>11.100000000000051</v>
      </c>
      <c r="P100" s="28">
        <f>P48+P51+P52</f>
        <v>-74.89999999999995</v>
      </c>
    </row>
    <row r="101" spans="4:16" ht="15" hidden="1">
      <c r="D101" s="77"/>
      <c r="I101" s="28"/>
      <c r="O101" s="281"/>
      <c r="P101" s="281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298136.35</v>
      </c>
      <c r="G102" s="28">
        <f>F102-E102</f>
        <v>-99928.75</v>
      </c>
      <c r="H102" s="228">
        <f>F102/E102</f>
        <v>0.7489638001422381</v>
      </c>
      <c r="I102" s="28">
        <f>F102-D102</f>
        <v>-1000912.2500000001</v>
      </c>
      <c r="J102" s="228">
        <f>F102/D102</f>
        <v>0.22950361518422016</v>
      </c>
      <c r="N102" s="28">
        <f>N9+N15+N17+N18+N19+N23+N42+N45+N65+N59</f>
        <v>105439.4</v>
      </c>
      <c r="O102" s="227">
        <f>O9+O15+O17+O18+O19+O23+O42+O45+O65+O59</f>
        <v>4759.010000000006</v>
      </c>
      <c r="P102" s="28">
        <f>O102-N102</f>
        <v>-100680.38999999998</v>
      </c>
      <c r="Q102" s="228">
        <f>O102/N102</f>
        <v>0.04513502542692775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17870.55</v>
      </c>
      <c r="G103" s="28">
        <f>G43+G44+G46+G48+G50+G51+G52+G53+G54+G60+G64+G47</f>
        <v>-1476.1200000000003</v>
      </c>
      <c r="H103" s="228">
        <f>F103/E103</f>
        <v>0.9234471889210417</v>
      </c>
      <c r="I103" s="28">
        <f>I43+I44+I46+I48+I50+I51+I52+I53+I54+I60+I64+I47</f>
        <v>-40566.62</v>
      </c>
      <c r="J103" s="228">
        <f>F103/D103</f>
        <v>0.3057800402104633</v>
      </c>
      <c r="K103" s="28">
        <f aca="true" t="shared" si="23" ref="K103:P103">K43+K44+K46+K48+K50+K51+K52+K53+K54+K60+K64+K47</f>
        <v>16662.34</v>
      </c>
      <c r="L103" s="28">
        <f t="shared" si="23"/>
        <v>1213.5400000000002</v>
      </c>
      <c r="M103" s="28">
        <f t="shared" si="23"/>
        <v>15.66126661342771</v>
      </c>
      <c r="N103" s="28">
        <f>N43+N44+N46+N48+N50+N51+N52+N53+N54+N60+N64+N47+N66</f>
        <v>5120.8</v>
      </c>
      <c r="O103" s="227">
        <f>O43+O44+O46+O48+O50+O51+O52+O53+O54+O60+O64+O47+O66</f>
        <v>3818.889999999999</v>
      </c>
      <c r="P103" s="28">
        <f t="shared" si="23"/>
        <v>-1301.9100000000005</v>
      </c>
      <c r="Q103" s="228">
        <f>O103/N103</f>
        <v>0.7457604280581157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4" ref="E104:P104">SUM(E102:E103)</f>
        <v>417417.1</v>
      </c>
      <c r="F104" s="227">
        <f t="shared" si="24"/>
        <v>316006.89999999997</v>
      </c>
      <c r="G104" s="28">
        <f t="shared" si="24"/>
        <v>-101404.87</v>
      </c>
      <c r="H104" s="228">
        <f>F104/E104</f>
        <v>0.757053077125973</v>
      </c>
      <c r="I104" s="28">
        <f t="shared" si="24"/>
        <v>-1041478.8700000001</v>
      </c>
      <c r="J104" s="228">
        <f>F104/D104</f>
        <v>0.23278745621242006</v>
      </c>
      <c r="K104" s="28">
        <f t="shared" si="24"/>
        <v>16662.34</v>
      </c>
      <c r="L104" s="28">
        <f t="shared" si="24"/>
        <v>1213.5400000000002</v>
      </c>
      <c r="M104" s="28">
        <f t="shared" si="24"/>
        <v>15.66126661342771</v>
      </c>
      <c r="N104" s="28">
        <f t="shared" si="24"/>
        <v>110560.2</v>
      </c>
      <c r="O104" s="227">
        <f t="shared" si="24"/>
        <v>8577.900000000005</v>
      </c>
      <c r="P104" s="28">
        <f t="shared" si="24"/>
        <v>-101982.29999999999</v>
      </c>
      <c r="Q104" s="228">
        <f>O104/N104</f>
        <v>0.07758578584336864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-5.330000000016298</v>
      </c>
      <c r="H105" s="228"/>
      <c r="I105" s="28">
        <f t="shared" si="25"/>
        <v>-5.330000000074506</v>
      </c>
      <c r="J105" s="228"/>
      <c r="K105" s="28">
        <f t="shared" si="25"/>
        <v>294242.8</v>
      </c>
      <c r="L105" s="28">
        <f t="shared" si="25"/>
        <v>3888.219999999951</v>
      </c>
      <c r="M105" s="28">
        <f t="shared" si="25"/>
        <v>-14.644857235313214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-26190.099999999995</v>
      </c>
      <c r="S105" s="28">
        <f t="shared" si="25"/>
        <v>0.24671824666359884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29161.39999999998</v>
      </c>
    </row>
    <row r="108" spans="2:5" ht="15" hidden="1">
      <c r="B108" s="242" t="s">
        <v>154</v>
      </c>
      <c r="E108" s="28">
        <f>E88-E83-E76-E77</f>
        <v>8520.599999999999</v>
      </c>
    </row>
    <row r="109" ht="15" hidden="1"/>
    <row r="110" spans="2:23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24033</v>
      </c>
      <c r="G111" s="190">
        <f>F111-E111</f>
        <v>-13384.86</v>
      </c>
      <c r="H111" s="191">
        <f>F111/E111*100</f>
        <v>64.22868651494232</v>
      </c>
      <c r="I111" s="192">
        <f>F111-D111</f>
        <v>-294031.25</v>
      </c>
      <c r="J111" s="192">
        <f>F111/D111*100</f>
        <v>7.556020521011085</v>
      </c>
      <c r="K111" s="192">
        <v>3039.87</v>
      </c>
      <c r="L111" s="192">
        <f>F111-K111</f>
        <v>20993.13</v>
      </c>
      <c r="M111" s="267">
        <f>F111/K111</f>
        <v>7.905930187804084</v>
      </c>
      <c r="N111" s="270"/>
      <c r="O111" s="270"/>
      <c r="P111" s="271"/>
      <c r="Q111" s="271"/>
      <c r="R111" s="269">
        <f>O111-8104.96</f>
        <v>-8104.96</v>
      </c>
      <c r="S111" s="94">
        <f>O111/8104.96</f>
        <v>0</v>
      </c>
      <c r="T111" s="145">
        <f>D111-E111</f>
        <v>280646.39</v>
      </c>
      <c r="U111" s="4"/>
      <c r="V111" s="4"/>
      <c r="W111" s="4"/>
    </row>
    <row r="112" spans="2:23" ht="17.25" hidden="1">
      <c r="B112" s="21" t="s">
        <v>170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340039.89999999997</v>
      </c>
      <c r="G112" s="190">
        <f>F112-E112</f>
        <v>-114795.06</v>
      </c>
      <c r="H112" s="191">
        <f>F112/E112*100</f>
        <v>74.76116171896724</v>
      </c>
      <c r="I112" s="192">
        <f>F112-D112</f>
        <v>-1335515.4500000002</v>
      </c>
      <c r="J112" s="192">
        <f>F112/D112*100</f>
        <v>20.29416097773195</v>
      </c>
      <c r="K112" s="192">
        <f>K89+K111</f>
        <v>325584.76</v>
      </c>
      <c r="L112" s="192">
        <f>F112-K112</f>
        <v>14455.139999999956</v>
      </c>
      <c r="M112" s="267">
        <f>F112/K112</f>
        <v>1.0443974711838477</v>
      </c>
      <c r="N112" s="272"/>
      <c r="O112" s="272"/>
      <c r="P112" s="271"/>
      <c r="Q112" s="271"/>
      <c r="R112" s="269">
        <f>O112-42872.96</f>
        <v>-42872.96</v>
      </c>
      <c r="S112" s="94">
        <f>O112/42872.96</f>
        <v>0</v>
      </c>
      <c r="T112" s="145">
        <f>D112-E112</f>
        <v>1220720.3900000001</v>
      </c>
      <c r="U112" s="4"/>
      <c r="V112" s="4"/>
      <c r="W112" s="4"/>
    </row>
    <row r="113" spans="2:23" ht="15" hidden="1">
      <c r="B113" s="238" t="s">
        <v>172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142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1005490.5599999999</v>
      </c>
      <c r="F124" s="275">
        <f>F112+F113</f>
        <v>885868.98</v>
      </c>
      <c r="G124" s="276">
        <f t="shared" si="27"/>
        <v>-119621.57999999996</v>
      </c>
      <c r="H124" s="275">
        <f t="shared" si="29"/>
        <v>88.10316230119555</v>
      </c>
      <c r="I124" s="277">
        <f t="shared" si="28"/>
        <v>-2012555.06</v>
      </c>
      <c r="J124" s="277">
        <f t="shared" si="30"/>
        <v>30.563815638239046</v>
      </c>
      <c r="Q124" s="240"/>
    </row>
    <row r="125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" right="0" top="0" bottom="0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8" hidden="1" customWidth="1"/>
    <col min="22" max="23" width="0" style="77" hidden="1" customWidth="1"/>
    <col min="24" max="16384" width="9.125" style="4" customWidth="1"/>
  </cols>
  <sheetData>
    <row r="1" spans="1:23" s="1" customFormat="1" ht="26.25" customHeight="1">
      <c r="A1" s="301" t="s">
        <v>174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85"/>
      <c r="S1" s="86"/>
      <c r="T1" s="244"/>
      <c r="U1" s="247"/>
      <c r="V1" s="257"/>
      <c r="W1" s="257"/>
    </row>
    <row r="2" spans="2:23" s="1" customFormat="1" ht="15.75" customHeight="1">
      <c r="B2" s="302"/>
      <c r="C2" s="302"/>
      <c r="D2" s="302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4"/>
      <c r="U2" s="247"/>
      <c r="V2" s="257"/>
      <c r="W2" s="257"/>
    </row>
    <row r="3" spans="1:23" s="3" customFormat="1" ht="13.5" customHeight="1">
      <c r="A3" s="303"/>
      <c r="B3" s="305"/>
      <c r="C3" s="306" t="s">
        <v>0</v>
      </c>
      <c r="D3" s="307" t="s">
        <v>138</v>
      </c>
      <c r="E3" s="31"/>
      <c r="F3" s="308" t="s">
        <v>26</v>
      </c>
      <c r="G3" s="309"/>
      <c r="H3" s="309"/>
      <c r="I3" s="309"/>
      <c r="J3" s="310"/>
      <c r="K3" s="82"/>
      <c r="L3" s="82"/>
      <c r="M3" s="82"/>
      <c r="N3" s="311" t="s">
        <v>151</v>
      </c>
      <c r="O3" s="312" t="s">
        <v>152</v>
      </c>
      <c r="P3" s="312"/>
      <c r="Q3" s="312"/>
      <c r="R3" s="312"/>
      <c r="S3" s="312"/>
      <c r="T3" s="112" t="s">
        <v>163</v>
      </c>
      <c r="U3" s="112" t="s">
        <v>163</v>
      </c>
      <c r="V3" s="258" t="s">
        <v>163</v>
      </c>
      <c r="W3" s="258" t="s">
        <v>163</v>
      </c>
    </row>
    <row r="4" spans="1:22" ht="22.5" customHeight="1">
      <c r="A4" s="303"/>
      <c r="B4" s="305"/>
      <c r="C4" s="306"/>
      <c r="D4" s="307"/>
      <c r="E4" s="313" t="s">
        <v>141</v>
      </c>
      <c r="F4" s="295" t="s">
        <v>33</v>
      </c>
      <c r="G4" s="288" t="s">
        <v>150</v>
      </c>
      <c r="H4" s="297" t="s">
        <v>165</v>
      </c>
      <c r="I4" s="288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299" t="s">
        <v>175</v>
      </c>
      <c r="P4" s="288" t="s">
        <v>49</v>
      </c>
      <c r="Q4" s="290" t="s">
        <v>48</v>
      </c>
      <c r="R4" s="90" t="s">
        <v>64</v>
      </c>
      <c r="S4" s="91" t="s">
        <v>63</v>
      </c>
      <c r="T4" s="28" t="s">
        <v>162</v>
      </c>
      <c r="U4" s="248" t="s">
        <v>162</v>
      </c>
      <c r="V4" s="77" t="s">
        <v>164</v>
      </c>
    </row>
    <row r="5" spans="1:23" ht="67.5" customHeight="1">
      <c r="A5" s="304"/>
      <c r="B5" s="305"/>
      <c r="C5" s="306"/>
      <c r="D5" s="307"/>
      <c r="E5" s="314"/>
      <c r="F5" s="296"/>
      <c r="G5" s="289"/>
      <c r="H5" s="298"/>
      <c r="I5" s="289"/>
      <c r="J5" s="298"/>
      <c r="K5" s="291" t="s">
        <v>157</v>
      </c>
      <c r="L5" s="292"/>
      <c r="M5" s="293"/>
      <c r="N5" s="298"/>
      <c r="O5" s="300"/>
      <c r="P5" s="289"/>
      <c r="Q5" s="290"/>
      <c r="R5" s="291" t="s">
        <v>102</v>
      </c>
      <c r="S5" s="293"/>
      <c r="T5" s="28" t="s">
        <v>155</v>
      </c>
      <c r="U5" s="248" t="s">
        <v>156</v>
      </c>
      <c r="V5" s="77" t="s">
        <v>155</v>
      </c>
      <c r="W5" s="259" t="s">
        <v>156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5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5">
        <f>O9-T9</f>
        <v>1525.4199999999837</v>
      </c>
      <c r="V9" s="131">
        <v>160661.9</v>
      </c>
      <c r="W9" s="263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5">
        <f aca="true" t="shared" si="8" ref="U10:U42">O10-T10</f>
        <v>55588.729999999996</v>
      </c>
      <c r="V10" s="131"/>
      <c r="W10" s="262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5">
        <f t="shared" si="8"/>
        <v>3209.2199999999993</v>
      </c>
      <c r="V11" s="131"/>
      <c r="W11" s="262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5">
        <f t="shared" si="8"/>
        <v>727.27</v>
      </c>
      <c r="V12" s="131"/>
      <c r="W12" s="262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5">
        <f t="shared" si="8"/>
        <v>600.8399999999999</v>
      </c>
      <c r="V13" s="131"/>
      <c r="W13" s="262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5"/>
      <c r="U14" s="245">
        <f t="shared" si="8"/>
        <v>175.36</v>
      </c>
      <c r="V14" s="131"/>
      <c r="W14" s="262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5">
        <f t="shared" si="8"/>
        <v>-3.1300000000000523</v>
      </c>
      <c r="V15" s="131"/>
      <c r="W15" s="262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5">
        <f t="shared" si="8"/>
        <v>0</v>
      </c>
      <c r="V16" s="131"/>
      <c r="W16" s="262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5">
        <f t="shared" si="8"/>
        <v>0</v>
      </c>
      <c r="V17" s="131"/>
      <c r="W17" s="262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5"/>
      <c r="V18" s="131"/>
      <c r="W18" s="262"/>
    </row>
    <row r="19" spans="1:23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5"/>
      <c r="V19" s="131"/>
      <c r="W19" s="262"/>
    </row>
    <row r="20" spans="1:23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27800</v>
      </c>
      <c r="F20" s="199">
        <v>17734.06</v>
      </c>
      <c r="G20" s="251">
        <f t="shared" si="0"/>
        <v>-10065.939999999999</v>
      </c>
      <c r="H20" s="193">
        <f t="shared" si="3"/>
        <v>63.79158273381296</v>
      </c>
      <c r="I20" s="252">
        <f t="shared" si="4"/>
        <v>-112265.94</v>
      </c>
      <c r="J20" s="252">
        <f t="shared" si="5"/>
        <v>13.641584615384616</v>
      </c>
      <c r="K20" s="253">
        <v>18270.89</v>
      </c>
      <c r="L20" s="164">
        <f t="shared" si="1"/>
        <v>-536.8299999999981</v>
      </c>
      <c r="M20" s="254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2">
        <f t="shared" si="7"/>
        <v>41.10357142857144</v>
      </c>
      <c r="R20" s="106"/>
      <c r="S20" s="107"/>
      <c r="T20" s="255">
        <v>4250</v>
      </c>
      <c r="U20" s="256">
        <f t="shared" si="8"/>
        <v>-221.84999999999854</v>
      </c>
      <c r="V20" s="260">
        <v>17955.9</v>
      </c>
      <c r="W20" s="263">
        <f>F20-V20</f>
        <v>-221.84000000000015</v>
      </c>
    </row>
    <row r="21" spans="1:23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2236.79</v>
      </c>
      <c r="G21" s="251">
        <f t="shared" si="0"/>
        <v>2236.79</v>
      </c>
      <c r="H21" s="193"/>
      <c r="I21" s="252">
        <f t="shared" si="4"/>
        <v>2236.79</v>
      </c>
      <c r="J21" s="252"/>
      <c r="K21" s="253">
        <v>0</v>
      </c>
      <c r="L21" s="164">
        <f t="shared" si="1"/>
        <v>2236.79</v>
      </c>
      <c r="M21" s="254"/>
      <c r="N21" s="193">
        <v>0</v>
      </c>
      <c r="O21" s="177">
        <f>F21</f>
        <v>2236.79</v>
      </c>
      <c r="P21" s="164"/>
      <c r="Q21" s="252"/>
      <c r="R21" s="106"/>
      <c r="S21" s="107"/>
      <c r="T21" s="255"/>
      <c r="U21" s="256"/>
      <c r="V21" s="260"/>
      <c r="W21" s="262"/>
    </row>
    <row r="22" spans="1:23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7663.01</v>
      </c>
      <c r="G22" s="251">
        <f t="shared" si="0"/>
        <v>7663.01</v>
      </c>
      <c r="H22" s="193"/>
      <c r="I22" s="252">
        <f t="shared" si="4"/>
        <v>7663.01</v>
      </c>
      <c r="J22" s="252"/>
      <c r="K22" s="253">
        <v>0</v>
      </c>
      <c r="L22" s="164">
        <f t="shared" si="1"/>
        <v>7663.01</v>
      </c>
      <c r="M22" s="254"/>
      <c r="N22" s="193">
        <v>0</v>
      </c>
      <c r="O22" s="177">
        <f>F22</f>
        <v>7663.01</v>
      </c>
      <c r="P22" s="164"/>
      <c r="Q22" s="252"/>
      <c r="R22" s="106"/>
      <c r="S22" s="107"/>
      <c r="T22" s="255"/>
      <c r="U22" s="256"/>
      <c r="V22" s="260"/>
      <c r="W22" s="262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5"/>
      <c r="V23" s="131"/>
      <c r="W23" s="262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5"/>
      <c r="V24" s="131"/>
      <c r="W24" s="262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5">
        <f t="shared" si="8"/>
        <v>431.72999999999956</v>
      </c>
      <c r="V25" s="131"/>
      <c r="W25" s="262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5">
        <f t="shared" si="8"/>
        <v>6.840000000000003</v>
      </c>
      <c r="V26" s="131"/>
      <c r="W26" s="262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5">
        <f t="shared" si="8"/>
        <v>798.8900000000003</v>
      </c>
      <c r="V27" s="131"/>
      <c r="W27" s="262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5">
        <f t="shared" si="8"/>
        <v>-47.92</v>
      </c>
      <c r="V28" s="131"/>
      <c r="W28" s="262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5">
        <f t="shared" si="8"/>
        <v>1126.5</v>
      </c>
      <c r="V29" s="131">
        <v>42191.7</v>
      </c>
      <c r="W29" s="263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5">
        <f t="shared" si="8"/>
        <v>5576.230000000001</v>
      </c>
      <c r="V30" s="131"/>
      <c r="W30" s="262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5">
        <f t="shared" si="8"/>
        <v>10774.27</v>
      </c>
      <c r="V31" s="131"/>
      <c r="W31" s="262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5"/>
      <c r="V32" s="131"/>
      <c r="W32" s="262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5"/>
      <c r="V33" s="131"/>
      <c r="W33" s="262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5"/>
      <c r="V34" s="131"/>
      <c r="W34" s="262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5">
        <f t="shared" si="8"/>
        <v>1118.060000000005</v>
      </c>
      <c r="V35" s="131"/>
      <c r="W35" s="262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2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5">
        <f t="shared" si="8"/>
        <v>0</v>
      </c>
      <c r="V36" s="131"/>
      <c r="W36" s="262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5">
        <f t="shared" si="8"/>
        <v>1191.9699999999993</v>
      </c>
      <c r="V37" s="131"/>
      <c r="W37" s="262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5">
        <f t="shared" si="8"/>
        <v>6576.080000000002</v>
      </c>
      <c r="V38" s="131"/>
      <c r="W38" s="262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5">
        <f t="shared" si="8"/>
        <v>0</v>
      </c>
      <c r="V39" s="131"/>
      <c r="W39" s="262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5">
        <f t="shared" si="8"/>
        <v>0</v>
      </c>
      <c r="V40" s="131"/>
      <c r="W40" s="262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5"/>
      <c r="W41" s="262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5">
        <f t="shared" si="8"/>
        <v>0</v>
      </c>
      <c r="V42" s="131"/>
      <c r="W42" s="262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/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5"/>
      <c r="V43" s="131"/>
      <c r="W43" s="262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5"/>
      <c r="V44" s="131"/>
      <c r="W44" s="262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5"/>
      <c r="V45" s="131"/>
      <c r="W45" s="262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5"/>
      <c r="V46" s="131"/>
      <c r="W46" s="262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5"/>
      <c r="V47" s="131"/>
      <c r="W47" s="262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5"/>
      <c r="V48" s="131"/>
      <c r="W48" s="262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5"/>
      <c r="V49" s="131"/>
      <c r="W49" s="262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5"/>
      <c r="V50" s="131"/>
      <c r="W50" s="262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5"/>
      <c r="V51" s="131"/>
      <c r="W51" s="262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5"/>
      <c r="V52" s="131"/>
      <c r="W52" s="262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5"/>
      <c r="V53" s="131"/>
      <c r="W53" s="262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5"/>
      <c r="V54" s="131"/>
      <c r="W54" s="262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5"/>
      <c r="V55" s="131"/>
      <c r="W55" s="262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5"/>
      <c r="V56" s="131"/>
      <c r="W56" s="262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5"/>
      <c r="V57" s="131"/>
      <c r="W57" s="262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5"/>
      <c r="V58" s="131"/>
      <c r="W58" s="262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5"/>
      <c r="V59" s="131"/>
      <c r="W59" s="262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5"/>
      <c r="V60" s="131"/>
      <c r="W60" s="262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5"/>
      <c r="V61" s="131"/>
      <c r="W61" s="262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5"/>
      <c r="V62" s="131"/>
      <c r="W62" s="262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5"/>
      <c r="V63" s="131"/>
      <c r="W63" s="262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5"/>
      <c r="V64" s="131"/>
      <c r="W64" s="262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5">
        <f>O65-T65</f>
        <v>5.37</v>
      </c>
      <c r="V65" s="131"/>
      <c r="W65" s="262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5"/>
      <c r="V66" s="131"/>
      <c r="W66" s="262"/>
    </row>
    <row r="67" spans="1:23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5">
        <f>O67-T67</f>
        <v>14341.229999999981</v>
      </c>
      <c r="V67" s="131">
        <v>293087.8</v>
      </c>
      <c r="W67" s="263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6"/>
      <c r="U68" s="249"/>
      <c r="V68" s="261"/>
      <c r="W68" s="261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6"/>
      <c r="U69" s="249"/>
      <c r="V69" s="261"/>
      <c r="W69" s="261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6"/>
      <c r="U70" s="249"/>
      <c r="V70" s="261"/>
      <c r="W70" s="261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8" ref="G76:G87">F76-E76</f>
        <v>0.11</v>
      </c>
      <c r="H76" s="162"/>
      <c r="I76" s="165">
        <f aca="true" t="shared" si="19" ref="I76:I87">F76-D76</f>
        <v>-104205.92</v>
      </c>
      <c r="J76" s="165">
        <f>F76/D76*100</f>
        <v>0.00010556011010111412</v>
      </c>
      <c r="K76" s="165">
        <v>0.15</v>
      </c>
      <c r="L76" s="165">
        <f aca="true" t="shared" si="20" ref="L76:L87">F76-K76</f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aca="true" t="shared" si="21" ref="P76:P89">O76-N76</f>
        <v>0.039999999999999994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8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8"/>
        <v>35.57</v>
      </c>
      <c r="H87" s="162"/>
      <c r="I87" s="165">
        <f t="shared" si="19"/>
        <v>35.57</v>
      </c>
      <c r="J87" s="165"/>
      <c r="K87" s="165">
        <v>0</v>
      </c>
      <c r="L87" s="165">
        <f t="shared" si="20"/>
        <v>35.57</v>
      </c>
      <c r="M87" s="165"/>
      <c r="N87" s="162">
        <f>E87-лютий!E84</f>
        <v>0</v>
      </c>
      <c r="O87" s="166">
        <f>F87-лютий!F84</f>
        <v>8.91</v>
      </c>
      <c r="P87" s="165">
        <f t="shared" si="21"/>
        <v>8.91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3654.0099999999998</v>
      </c>
      <c r="G88" s="190">
        <f>F88-E88</f>
        <v>-8198.69</v>
      </c>
      <c r="H88" s="191">
        <f>F88/E88*100</f>
        <v>30.82850321023901</v>
      </c>
      <c r="I88" s="192">
        <f>F88-D88</f>
        <v>-242002.02</v>
      </c>
      <c r="J88" s="192">
        <f>F88/D88*100</f>
        <v>1.4874497483330655</v>
      </c>
      <c r="K88" s="192">
        <v>10307.64</v>
      </c>
      <c r="L88" s="192">
        <f>F88-K88</f>
        <v>-6653.629999999999</v>
      </c>
      <c r="M88" s="219">
        <f t="shared" si="22"/>
        <v>0.35449530639409216</v>
      </c>
      <c r="N88" s="189">
        <f>N74+N86+N80+N85+N87</f>
        <v>7465.8</v>
      </c>
      <c r="O88" s="189">
        <f>O74+O86+O80+O85+O87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171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294"/>
      <c r="H92" s="294"/>
      <c r="I92" s="294"/>
      <c r="J92" s="294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286"/>
      <c r="P93" s="286"/>
    </row>
    <row r="94" spans="3:16" ht="15">
      <c r="C94" s="80">
        <v>42824</v>
      </c>
      <c r="D94" s="28">
        <v>11112.7</v>
      </c>
      <c r="F94" s="112" t="s">
        <v>58</v>
      </c>
      <c r="G94" s="280"/>
      <c r="H94" s="280"/>
      <c r="I94" s="117"/>
      <c r="J94" s="283"/>
      <c r="K94" s="283"/>
      <c r="L94" s="283"/>
      <c r="M94" s="283"/>
      <c r="N94" s="283"/>
      <c r="O94" s="286"/>
      <c r="P94" s="286"/>
    </row>
    <row r="95" spans="3:16" ht="15.75" customHeight="1">
      <c r="C95" s="80">
        <v>42823</v>
      </c>
      <c r="D95" s="28">
        <v>8830.3</v>
      </c>
      <c r="F95" s="67"/>
      <c r="G95" s="280"/>
      <c r="H95" s="280"/>
      <c r="I95" s="117"/>
      <c r="J95" s="287"/>
      <c r="K95" s="287"/>
      <c r="L95" s="287"/>
      <c r="M95" s="287"/>
      <c r="N95" s="287"/>
      <c r="O95" s="286"/>
      <c r="P95" s="286"/>
    </row>
    <row r="96" spans="3:14" ht="15.75" customHeight="1">
      <c r="C96" s="80"/>
      <c r="F96" s="67"/>
      <c r="G96" s="282"/>
      <c r="H96" s="282"/>
      <c r="I96" s="123"/>
      <c r="J96" s="283"/>
      <c r="K96" s="283"/>
      <c r="L96" s="283"/>
      <c r="M96" s="283"/>
      <c r="N96" s="283"/>
    </row>
    <row r="97" spans="2:14" ht="18" customHeight="1">
      <c r="B97" s="284" t="s">
        <v>56</v>
      </c>
      <c r="C97" s="285"/>
      <c r="D97" s="132">
        <v>1399.2856000000002</v>
      </c>
      <c r="E97" s="68"/>
      <c r="F97" s="124" t="s">
        <v>105</v>
      </c>
      <c r="G97" s="280"/>
      <c r="H97" s="280"/>
      <c r="I97" s="125"/>
      <c r="J97" s="283"/>
      <c r="K97" s="283"/>
      <c r="L97" s="283"/>
      <c r="M97" s="283"/>
      <c r="N97" s="283"/>
    </row>
    <row r="98" spans="6:13" ht="9.75" customHeight="1">
      <c r="F98" s="67"/>
      <c r="G98" s="280"/>
      <c r="H98" s="280"/>
      <c r="I98" s="67"/>
      <c r="J98" s="68"/>
      <c r="K98" s="68"/>
      <c r="L98" s="68"/>
      <c r="M98" s="68"/>
    </row>
    <row r="99" spans="2:13" ht="22.5" customHeight="1" hidden="1">
      <c r="B99" s="278" t="s">
        <v>59</v>
      </c>
      <c r="C99" s="279"/>
      <c r="D99" s="79">
        <v>0</v>
      </c>
      <c r="E99" s="50" t="s">
        <v>24</v>
      </c>
      <c r="F99" s="67"/>
      <c r="G99" s="280"/>
      <c r="H99" s="280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68"/>
      <c r="I100" s="68"/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81"/>
      <c r="P101" s="281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22.550344409698525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22.550344409698525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-21.15589217316549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19583.200000000026</v>
      </c>
    </row>
    <row r="108" spans="2:5" ht="15" hidden="1">
      <c r="B108" s="242" t="s">
        <v>154</v>
      </c>
      <c r="E108" s="28">
        <f>E88-E83-E76-E77</f>
        <v>4666.4000000000015</v>
      </c>
    </row>
    <row r="109" ht="15" hidden="1"/>
    <row r="110" spans="2:23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7">
        <f>F111/K111</f>
        <v>7.864918565596555</v>
      </c>
      <c r="N111" s="270"/>
      <c r="O111" s="270"/>
      <c r="P111" s="271"/>
      <c r="Q111" s="271"/>
      <c r="R111" s="269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170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7">
        <f>F112/K112</f>
        <v>1.4171022100582904</v>
      </c>
      <c r="N112" s="272"/>
      <c r="O112" s="272"/>
      <c r="P112" s="271"/>
      <c r="Q112" s="271"/>
      <c r="R112" s="269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172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142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887467.26</v>
      </c>
      <c r="F124" s="275">
        <f>F112+F113</f>
        <v>877166.4099999999</v>
      </c>
      <c r="G124" s="276">
        <f t="shared" si="27"/>
        <v>-10300.850000000093</v>
      </c>
      <c r="H124" s="275">
        <f t="shared" si="29"/>
        <v>98.83929802661113</v>
      </c>
      <c r="I124" s="277">
        <f t="shared" si="28"/>
        <v>-2021257.6300000001</v>
      </c>
      <c r="J124" s="277">
        <f t="shared" si="30"/>
        <v>30.263563850374354</v>
      </c>
      <c r="Q124" s="240"/>
    </row>
    <row r="125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61" sqref="D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01" t="s">
        <v>139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85"/>
      <c r="S1" s="86"/>
    </row>
    <row r="2" spans="2:19" s="1" customFormat="1" ht="15.75" customHeight="1">
      <c r="B2" s="302"/>
      <c r="C2" s="302"/>
      <c r="D2" s="302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03"/>
      <c r="B3" s="305"/>
      <c r="C3" s="306" t="s">
        <v>0</v>
      </c>
      <c r="D3" s="307" t="s">
        <v>138</v>
      </c>
      <c r="E3" s="31"/>
      <c r="F3" s="308" t="s">
        <v>26</v>
      </c>
      <c r="G3" s="309"/>
      <c r="H3" s="309"/>
      <c r="I3" s="309"/>
      <c r="J3" s="310"/>
      <c r="K3" s="82"/>
      <c r="L3" s="82"/>
      <c r="M3" s="82"/>
      <c r="N3" s="311" t="s">
        <v>132</v>
      </c>
      <c r="O3" s="312" t="s">
        <v>136</v>
      </c>
      <c r="P3" s="312"/>
      <c r="Q3" s="312"/>
      <c r="R3" s="312"/>
      <c r="S3" s="312"/>
    </row>
    <row r="4" spans="1:19" ht="22.5" customHeight="1">
      <c r="A4" s="303"/>
      <c r="B4" s="305"/>
      <c r="C4" s="306"/>
      <c r="D4" s="307"/>
      <c r="E4" s="313" t="s">
        <v>137</v>
      </c>
      <c r="F4" s="295" t="s">
        <v>33</v>
      </c>
      <c r="G4" s="288" t="s">
        <v>133</v>
      </c>
      <c r="H4" s="297" t="s">
        <v>134</v>
      </c>
      <c r="I4" s="288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299" t="s">
        <v>140</v>
      </c>
      <c r="P4" s="288" t="s">
        <v>49</v>
      </c>
      <c r="Q4" s="290" t="s">
        <v>48</v>
      </c>
      <c r="R4" s="90" t="s">
        <v>64</v>
      </c>
      <c r="S4" s="91" t="s">
        <v>63</v>
      </c>
    </row>
    <row r="5" spans="1:19" ht="67.5" customHeight="1">
      <c r="A5" s="304"/>
      <c r="B5" s="305"/>
      <c r="C5" s="306"/>
      <c r="D5" s="307"/>
      <c r="E5" s="314"/>
      <c r="F5" s="296"/>
      <c r="G5" s="289"/>
      <c r="H5" s="298"/>
      <c r="I5" s="289"/>
      <c r="J5" s="298"/>
      <c r="K5" s="291" t="s">
        <v>135</v>
      </c>
      <c r="L5" s="292"/>
      <c r="M5" s="293"/>
      <c r="N5" s="298"/>
      <c r="O5" s="300"/>
      <c r="P5" s="289"/>
      <c r="Q5" s="290"/>
      <c r="R5" s="291" t="s">
        <v>102</v>
      </c>
      <c r="S5" s="29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294"/>
      <c r="H89" s="294"/>
      <c r="I89" s="294"/>
      <c r="J89" s="294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86"/>
      <c r="P90" s="286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80"/>
      <c r="H91" s="280"/>
      <c r="I91" s="117"/>
      <c r="J91" s="283"/>
      <c r="K91" s="283"/>
      <c r="L91" s="283"/>
      <c r="M91" s="283"/>
      <c r="N91" s="283"/>
      <c r="O91" s="286"/>
      <c r="P91" s="286"/>
    </row>
    <row r="92" spans="3:16" ht="15.75" customHeight="1">
      <c r="C92" s="80">
        <v>42790</v>
      </c>
      <c r="D92" s="28">
        <v>4206.9</v>
      </c>
      <c r="F92" s="67"/>
      <c r="G92" s="280"/>
      <c r="H92" s="280"/>
      <c r="I92" s="117"/>
      <c r="J92" s="287"/>
      <c r="K92" s="287"/>
      <c r="L92" s="287"/>
      <c r="M92" s="287"/>
      <c r="N92" s="287"/>
      <c r="O92" s="286"/>
      <c r="P92" s="286"/>
    </row>
    <row r="93" spans="3:14" ht="15.75" customHeight="1">
      <c r="C93" s="80"/>
      <c r="F93" s="67"/>
      <c r="G93" s="282"/>
      <c r="H93" s="282"/>
      <c r="I93" s="123"/>
      <c r="J93" s="283"/>
      <c r="K93" s="283"/>
      <c r="L93" s="283"/>
      <c r="M93" s="283"/>
      <c r="N93" s="283"/>
    </row>
    <row r="94" spans="2:14" ht="18.75" customHeight="1">
      <c r="B94" s="284" t="s">
        <v>56</v>
      </c>
      <c r="C94" s="285"/>
      <c r="D94" s="132">
        <v>7713.34596</v>
      </c>
      <c r="E94" s="68"/>
      <c r="F94" s="124" t="s">
        <v>105</v>
      </c>
      <c r="G94" s="280"/>
      <c r="H94" s="280"/>
      <c r="I94" s="125"/>
      <c r="J94" s="283"/>
      <c r="K94" s="283"/>
      <c r="L94" s="283"/>
      <c r="M94" s="283"/>
      <c r="N94" s="283"/>
    </row>
    <row r="95" spans="6:13" ht="9.75" customHeight="1">
      <c r="F95" s="67"/>
      <c r="G95" s="280"/>
      <c r="H95" s="280"/>
      <c r="I95" s="67"/>
      <c r="J95" s="68"/>
      <c r="K95" s="68"/>
      <c r="L95" s="68"/>
      <c r="M95" s="68"/>
    </row>
    <row r="96" spans="2:13" ht="22.5" customHeight="1" hidden="1">
      <c r="B96" s="278" t="s">
        <v>59</v>
      </c>
      <c r="C96" s="279"/>
      <c r="D96" s="79">
        <v>0</v>
      </c>
      <c r="E96" s="50" t="s">
        <v>24</v>
      </c>
      <c r="F96" s="67"/>
      <c r="G96" s="280"/>
      <c r="H96" s="280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81"/>
      <c r="P98" s="28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01" t="s">
        <v>131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85"/>
      <c r="S1" s="86"/>
    </row>
    <row r="2" spans="2:19" s="1" customFormat="1" ht="15.75" customHeight="1">
      <c r="B2" s="302"/>
      <c r="C2" s="302"/>
      <c r="D2" s="302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03"/>
      <c r="B3" s="305"/>
      <c r="C3" s="306" t="s">
        <v>0</v>
      </c>
      <c r="D3" s="307" t="s">
        <v>121</v>
      </c>
      <c r="E3" s="31"/>
      <c r="F3" s="308" t="s">
        <v>26</v>
      </c>
      <c r="G3" s="309"/>
      <c r="H3" s="309"/>
      <c r="I3" s="309"/>
      <c r="J3" s="310"/>
      <c r="K3" s="82"/>
      <c r="L3" s="82"/>
      <c r="M3" s="82"/>
      <c r="N3" s="311" t="s">
        <v>119</v>
      </c>
      <c r="O3" s="312" t="s">
        <v>115</v>
      </c>
      <c r="P3" s="312"/>
      <c r="Q3" s="312"/>
      <c r="R3" s="312"/>
      <c r="S3" s="312"/>
    </row>
    <row r="4" spans="1:19" ht="22.5" customHeight="1">
      <c r="A4" s="303"/>
      <c r="B4" s="305"/>
      <c r="C4" s="306"/>
      <c r="D4" s="307"/>
      <c r="E4" s="313" t="s">
        <v>122</v>
      </c>
      <c r="F4" s="295" t="s">
        <v>33</v>
      </c>
      <c r="G4" s="288" t="s">
        <v>123</v>
      </c>
      <c r="H4" s="297" t="s">
        <v>124</v>
      </c>
      <c r="I4" s="288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299" t="s">
        <v>120</v>
      </c>
      <c r="P4" s="288" t="s">
        <v>49</v>
      </c>
      <c r="Q4" s="290" t="s">
        <v>48</v>
      </c>
      <c r="R4" s="90" t="s">
        <v>64</v>
      </c>
      <c r="S4" s="91" t="s">
        <v>63</v>
      </c>
    </row>
    <row r="5" spans="1:19" ht="67.5" customHeight="1">
      <c r="A5" s="304"/>
      <c r="B5" s="305"/>
      <c r="C5" s="306"/>
      <c r="D5" s="307"/>
      <c r="E5" s="314"/>
      <c r="F5" s="296"/>
      <c r="G5" s="289"/>
      <c r="H5" s="298"/>
      <c r="I5" s="289"/>
      <c r="J5" s="298"/>
      <c r="K5" s="291" t="s">
        <v>129</v>
      </c>
      <c r="L5" s="292"/>
      <c r="M5" s="293"/>
      <c r="N5" s="298"/>
      <c r="O5" s="300"/>
      <c r="P5" s="289"/>
      <c r="Q5" s="290"/>
      <c r="R5" s="291" t="s">
        <v>102</v>
      </c>
      <c r="S5" s="29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94"/>
      <c r="H89" s="294"/>
      <c r="I89" s="294"/>
      <c r="J89" s="294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86"/>
      <c r="P90" s="286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80"/>
      <c r="H91" s="280"/>
      <c r="I91" s="117"/>
      <c r="J91" s="283"/>
      <c r="K91" s="283"/>
      <c r="L91" s="283"/>
      <c r="M91" s="283"/>
      <c r="N91" s="283"/>
      <c r="O91" s="286"/>
      <c r="P91" s="286"/>
    </row>
    <row r="92" spans="3:16" ht="15.75" customHeight="1">
      <c r="C92" s="80">
        <v>42762</v>
      </c>
      <c r="D92" s="28">
        <v>8862.4</v>
      </c>
      <c r="F92" s="67"/>
      <c r="G92" s="280"/>
      <c r="H92" s="280"/>
      <c r="I92" s="117"/>
      <c r="J92" s="287"/>
      <c r="K92" s="287"/>
      <c r="L92" s="287"/>
      <c r="M92" s="287"/>
      <c r="N92" s="287"/>
      <c r="O92" s="286"/>
      <c r="P92" s="286"/>
    </row>
    <row r="93" spans="3:14" ht="15.75" customHeight="1">
      <c r="C93" s="80"/>
      <c r="F93" s="67"/>
      <c r="G93" s="282"/>
      <c r="H93" s="282"/>
      <c r="I93" s="123"/>
      <c r="J93" s="283"/>
      <c r="K93" s="283"/>
      <c r="L93" s="283"/>
      <c r="M93" s="283"/>
      <c r="N93" s="283"/>
    </row>
    <row r="94" spans="2:14" ht="18.75" customHeight="1">
      <c r="B94" s="284" t="s">
        <v>56</v>
      </c>
      <c r="C94" s="285"/>
      <c r="D94" s="132">
        <f>9505303.41/1000</f>
        <v>9505.30341</v>
      </c>
      <c r="E94" s="68"/>
      <c r="F94" s="124" t="s">
        <v>105</v>
      </c>
      <c r="G94" s="280"/>
      <c r="H94" s="280"/>
      <c r="I94" s="125"/>
      <c r="J94" s="283"/>
      <c r="K94" s="283"/>
      <c r="L94" s="283"/>
      <c r="M94" s="283"/>
      <c r="N94" s="283"/>
    </row>
    <row r="95" spans="6:13" ht="9.75" customHeight="1">
      <c r="F95" s="67"/>
      <c r="G95" s="280"/>
      <c r="H95" s="280"/>
      <c r="I95" s="67"/>
      <c r="J95" s="68"/>
      <c r="K95" s="68"/>
      <c r="L95" s="68"/>
      <c r="M95" s="68"/>
    </row>
    <row r="96" spans="2:13" ht="22.5" customHeight="1" hidden="1">
      <c r="B96" s="278" t="s">
        <v>59</v>
      </c>
      <c r="C96" s="279"/>
      <c r="D96" s="79">
        <v>0</v>
      </c>
      <c r="E96" s="50" t="s">
        <v>24</v>
      </c>
      <c r="F96" s="67"/>
      <c r="G96" s="280"/>
      <c r="H96" s="280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81"/>
      <c r="P98" s="28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2017-04-04T12:02:44Z</cp:lastPrinted>
  <dcterms:created xsi:type="dcterms:W3CDTF">2003-07-28T11:27:56Z</dcterms:created>
  <dcterms:modified xsi:type="dcterms:W3CDTF">2017-04-05T11:30:54Z</dcterms:modified>
  <cp:category/>
  <cp:version/>
  <cp:contentType/>
  <cp:contentStatus/>
</cp:coreProperties>
</file>